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iscp\Documents\fdpp\2023\Annual Budget\"/>
    </mc:Choice>
  </mc:AlternateContent>
  <bookViews>
    <workbookView xWindow="-28920" yWindow="-45" windowWidth="29040" windowHeight="15840" tabRatio="842" firstSheet="18" activeTab="30"/>
  </bookViews>
  <sheets>
    <sheet name="10POINTAFTERLFC" sheetId="73" state="hidden" r:id="rId1"/>
    <sheet name="sorcitycoopdev't.office" sheetId="72" state="hidden" r:id="rId2"/>
    <sheet name="param" sheetId="76" r:id="rId3"/>
    <sheet name="SUMMARY" sheetId="51" r:id="rId4"/>
    <sheet name="20%DF" sheetId="62" r:id="rId5"/>
    <sheet name="SUMMARY (2)" sheetId="75" state="hidden" r:id="rId6"/>
    <sheet name="70% of 5%" sheetId="37" r:id="rId7"/>
    <sheet name="1011-CMO" sheetId="2" r:id="rId8"/>
    <sheet name="SPPA-CMO 2021" sheetId="80" state="hidden" r:id="rId9"/>
    <sheet name="CMO - SPPA" sheetId="70" state="hidden" r:id="rId10"/>
    <sheet name="SPPA FORM2A" sheetId="82" r:id="rId11"/>
    <sheet name="1013-CSU" sheetId="24" r:id="rId12"/>
    <sheet name="1014-BAPAS" sheetId="10" r:id="rId13"/>
    <sheet name="1015-PERMITS" sheetId="17" r:id="rId14"/>
    <sheet name="1016-CVMO" sheetId="4" r:id="rId15"/>
    <sheet name="1021-SP" sheetId="5" r:id="rId16"/>
    <sheet name="1022-SEC TO SP" sheetId="6" r:id="rId17"/>
    <sheet name="1031-ADMIN" sheetId="71" r:id="rId18"/>
    <sheet name="1032-CHRMO" sheetId="7" r:id="rId19"/>
    <sheet name="1033-PESO" sheetId="54" r:id="rId20"/>
    <sheet name="1041-CPDO" sheetId="8" r:id="rId21"/>
    <sheet name="1051-CCRO" sheetId="11" r:id="rId22"/>
    <sheet name="1061-CGSO" sheetId="68" r:id="rId23"/>
    <sheet name="1071-CBO" sheetId="13" r:id="rId24"/>
    <sheet name="1081-ACCTNG" sheetId="40" r:id="rId25"/>
    <sheet name="1091-CTO" sheetId="15" r:id="rId26"/>
    <sheet name="1101-ASSESSOR" sheetId="18" r:id="rId27"/>
    <sheet name="1121-CPIO" sheetId="28" r:id="rId28"/>
    <sheet name="1131-LEGAL" sheetId="27" r:id="rId29"/>
    <sheet name="4411-CHO" sheetId="65" r:id="rId30"/>
    <sheet name="7611-CSWDO" sheetId="19" r:id="rId31"/>
    <sheet name="8711-AGRI" sheetId="20" r:id="rId32"/>
    <sheet name="8721-VET" sheetId="21" r:id="rId33"/>
    <sheet name="8731-CENRO" sheetId="39" r:id="rId34"/>
    <sheet name="8751-CEO" sheetId="22" r:id="rId35"/>
    <sheet name="8811-MARKET" sheetId="64" r:id="rId36"/>
    <sheet name="BAC-BAC" sheetId="16" r:id="rId37"/>
    <sheet name="CCDO-CCDO" sheetId="63" r:id="rId38"/>
    <sheet name="CDRRMO-CDRRMO" sheetId="66" r:id="rId39"/>
    <sheet name="CTFRO-CTFRO" sheetId="61" r:id="rId40"/>
    <sheet name="CZAO-CZAO" sheetId="9" r:id="rId41"/>
    <sheet name="IAS-IAS" sheetId="32" r:id="rId42"/>
    <sheet name="OCIT-OCIT" sheetId="79" r:id="rId43"/>
    <sheet name="SOLIDWASTE-SOLIDWASTE" sheetId="31" r:id="rId44"/>
    <sheet name="TOURISM-TOURISM" sheetId="53" r:id="rId45"/>
    <sheet name="TRAFFIC-TRAFFIC" sheetId="30" r:id="rId46"/>
  </sheets>
  <externalReferences>
    <externalReference r:id="rId47"/>
    <externalReference r:id="rId48"/>
    <externalReference r:id="rId49"/>
    <externalReference r:id="rId50"/>
  </externalReferences>
  <definedNames>
    <definedName name="ACTNG_CO" localSheetId="17">'[1]ACTNG '!$G$64</definedName>
    <definedName name="ACTNG_CO" localSheetId="22">'[1]ACTNG '!$G$64</definedName>
    <definedName name="ACTNG_CO" localSheetId="29">'[1]ACTNG '!$G$64</definedName>
    <definedName name="ACTNG_CO" localSheetId="35">'[1]ACTNG '!$G$64</definedName>
    <definedName name="ACTNG_CO" localSheetId="38">'[1]ACTNG '!$G$64</definedName>
    <definedName name="ACTNG_CO" localSheetId="9">'1081-ACCTNG'!$G$48</definedName>
    <definedName name="ACTNG_CO" localSheetId="10">'[2]ACTNG '!$G$64</definedName>
    <definedName name="ACTNG_CO" localSheetId="8">'[2]ACTNG '!$G$64</definedName>
    <definedName name="ACTNG_CO">'1081-ACCTNG'!$G$48</definedName>
    <definedName name="ACTNG_MOOE" localSheetId="17">'[1]ACTNG '!$G$55</definedName>
    <definedName name="ACTNG_MOOE" localSheetId="22">'[1]ACTNG '!$G$55</definedName>
    <definedName name="ACTNG_MOOE" localSheetId="29">'[1]ACTNG '!$G$55</definedName>
    <definedName name="ACTNG_MOOE" localSheetId="35">'[1]ACTNG '!$G$55</definedName>
    <definedName name="ACTNG_MOOE" localSheetId="38">'[1]ACTNG '!$G$55</definedName>
    <definedName name="ACTNG_MOOE" localSheetId="9">'1081-ACCTNG'!$G$46</definedName>
    <definedName name="ACTNG_MOOE" localSheetId="10">'[2]ACTNG '!$G$55</definedName>
    <definedName name="ACTNG_MOOE" localSheetId="8">'[2]ACTNG '!$G$55</definedName>
    <definedName name="ACTNG_MOOE">'1081-ACCTNG'!$G$46</definedName>
    <definedName name="ACTNG_PLATILLA_ITEMS" localSheetId="17">'[1]ACTNG '!$H$10</definedName>
    <definedName name="ACTNG_PLATILLA_ITEMS" localSheetId="22">'[1]ACTNG '!$H$10</definedName>
    <definedName name="ACTNG_PLATILLA_ITEMS" localSheetId="29">'[1]ACTNG '!$H$10</definedName>
    <definedName name="ACTNG_PLATILLA_ITEMS" localSheetId="35">'[1]ACTNG '!$H$10</definedName>
    <definedName name="ACTNG_PLATILLA_ITEMS" localSheetId="38">'[1]ACTNG '!$H$10</definedName>
    <definedName name="ACTNG_PLATILLA_ITEMS" localSheetId="9">'1081-ACCTNG'!$H$10</definedName>
    <definedName name="ACTNG_PLATILLA_ITEMS" localSheetId="10">'[2]ACTNG '!$H$10</definedName>
    <definedName name="ACTNG_PLATILLA_ITEMS" localSheetId="8">'[2]ACTNG '!$H$10</definedName>
    <definedName name="ACTNG_PLATILLA_ITEMS">'1081-ACCTNG'!$H$10</definedName>
    <definedName name="ACTNG_PS" localSheetId="17">'[1]ACTNG '!$G$34</definedName>
    <definedName name="ACTNG_PS" localSheetId="22">'[1]ACTNG '!$G$34</definedName>
    <definedName name="ACTNG_PS" localSheetId="29">'[1]ACTNG '!$G$34</definedName>
    <definedName name="ACTNG_PS" localSheetId="35">'[1]ACTNG '!$G$34</definedName>
    <definedName name="ACTNG_PS" localSheetId="38">'[1]ACTNG '!$G$34</definedName>
    <definedName name="ACTNG_PS" localSheetId="9">'1081-ACCTNG'!$G$35</definedName>
    <definedName name="ACTNG_PS" localSheetId="10">'[2]ACTNG '!$G$34</definedName>
    <definedName name="ACTNG_PS" localSheetId="8">'[2]ACTNG '!$G$34</definedName>
    <definedName name="ACTNG_PS">'1081-ACCTNG'!$G$35</definedName>
    <definedName name="ADMIN_CO" localSheetId="17">'1031-ADMIN'!$G$47</definedName>
    <definedName name="ADMIN_CO" localSheetId="22">[1]ADMIN!$G$56</definedName>
    <definedName name="ADMIN_CO" localSheetId="29">[1]ADMIN!$G$56</definedName>
    <definedName name="ADMIN_CO" localSheetId="35">[1]ADMIN!$G$56</definedName>
    <definedName name="ADMIN_CO" localSheetId="38">[1]ADMIN!$G$56</definedName>
    <definedName name="ADMIN_CO" localSheetId="9">#REF!</definedName>
    <definedName name="ADMIN_CO" localSheetId="10">#REF!</definedName>
    <definedName name="ADMIN_CO" localSheetId="8">#REF!</definedName>
    <definedName name="ADMIN_CO" localSheetId="5">#REF!</definedName>
    <definedName name="ADMIN_CO">#REF!</definedName>
    <definedName name="ADMIN_MOOE" localSheetId="17">'1031-ADMIN'!$G$45</definedName>
    <definedName name="ADMIN_MOOE" localSheetId="22">[1]ADMIN!$G$51</definedName>
    <definedName name="ADMIN_MOOE" localSheetId="29">[1]ADMIN!$G$51</definedName>
    <definedName name="ADMIN_MOOE" localSheetId="35">[1]ADMIN!$G$51</definedName>
    <definedName name="ADMIN_MOOE" localSheetId="38">[1]ADMIN!$G$51</definedName>
    <definedName name="ADMIN_MOOE" localSheetId="9">#REF!</definedName>
    <definedName name="ADMIN_MOOE" localSheetId="10">#REF!</definedName>
    <definedName name="ADMIN_MOOE" localSheetId="8">#REF!</definedName>
    <definedName name="ADMIN_MOOE" localSheetId="5">#REF!</definedName>
    <definedName name="ADMIN_MOOE">#REF!</definedName>
    <definedName name="ADMIN_PLATILLA_ITEMS" localSheetId="17">'1031-ADMIN'!$H$10</definedName>
    <definedName name="ADMIN_PLATILLA_ITEMS" localSheetId="22">[1]ADMIN!$H$10</definedName>
    <definedName name="ADMIN_PLATILLA_ITEMS" localSheetId="29">[1]ADMIN!$H$10</definedName>
    <definedName name="ADMIN_PLATILLA_ITEMS" localSheetId="35">[1]ADMIN!$H$10</definedName>
    <definedName name="ADMIN_PLATILLA_ITEMS" localSheetId="38">[1]ADMIN!$H$10</definedName>
    <definedName name="ADMIN_PLATILLA_ITEMS" localSheetId="9">#REF!</definedName>
    <definedName name="ADMIN_PLATILLA_ITEMS" localSheetId="10">#REF!</definedName>
    <definedName name="ADMIN_PLATILLA_ITEMS" localSheetId="8">#REF!</definedName>
    <definedName name="ADMIN_PLATILLA_ITEMS" localSheetId="5">#REF!</definedName>
    <definedName name="ADMIN_PLATILLA_ITEMS">#REF!</definedName>
    <definedName name="ADMIN_PS" localSheetId="17">'1031-ADMIN'!$G$34</definedName>
    <definedName name="ADMIN_PS" localSheetId="22">[1]ADMIN!$G$33</definedName>
    <definedName name="ADMIN_PS" localSheetId="29">[1]ADMIN!$G$33</definedName>
    <definedName name="ADMIN_PS" localSheetId="35">[1]ADMIN!$G$33</definedName>
    <definedName name="ADMIN_PS" localSheetId="38">[1]ADMIN!$G$33</definedName>
    <definedName name="ADMIN_PS" localSheetId="9">#REF!</definedName>
    <definedName name="ADMIN_PS" localSheetId="10">#REF!</definedName>
    <definedName name="ADMIN_PS" localSheetId="8">#REF!</definedName>
    <definedName name="ADMIN_PS" localSheetId="5">#REF!</definedName>
    <definedName name="ADMIN_PS">#REF!</definedName>
    <definedName name="AGRI_CO" localSheetId="17">[1]AGRI!$G$75</definedName>
    <definedName name="AGRI_CO" localSheetId="22">[1]AGRI!$G$75</definedName>
    <definedName name="AGRI_CO" localSheetId="29">[1]AGRI!$G$75</definedName>
    <definedName name="AGRI_CO" localSheetId="35">[1]AGRI!$G$75</definedName>
    <definedName name="AGRI_CO" localSheetId="38">[1]AGRI!$G$75</definedName>
    <definedName name="AGRI_CO" localSheetId="9">'8711-AGRI'!$G$62</definedName>
    <definedName name="AGRI_CO" localSheetId="10">[2]AGRI!$G$75</definedName>
    <definedName name="AGRI_CO" localSheetId="8">[2]AGRI!$G$75</definedName>
    <definedName name="AGRI_CO">'8711-AGRI'!$G$62</definedName>
    <definedName name="AGRI_MOOE" localSheetId="17">[1]AGRI!$G$68</definedName>
    <definedName name="AGRI_MOOE" localSheetId="22">[1]AGRI!$G$68</definedName>
    <definedName name="AGRI_MOOE" localSheetId="29">[1]AGRI!$G$68</definedName>
    <definedName name="AGRI_MOOE" localSheetId="35">[1]AGRI!$G$68</definedName>
    <definedName name="AGRI_MOOE" localSheetId="38">[1]AGRI!$G$68</definedName>
    <definedName name="AGRI_MOOE" localSheetId="9">'8711-AGRI'!$G$54</definedName>
    <definedName name="AGRI_MOOE" localSheetId="10">[2]AGRI!$G$68</definedName>
    <definedName name="AGRI_MOOE" localSheetId="8">[2]AGRI!$G$68</definedName>
    <definedName name="AGRI_MOOE">'8711-AGRI'!$G$54</definedName>
    <definedName name="AGRI_PLATILLA_ITEMS" localSheetId="17">[1]AGRI!$H$10</definedName>
    <definedName name="AGRI_PLATILLA_ITEMS" localSheetId="22">[1]AGRI!$H$10</definedName>
    <definedName name="AGRI_PLATILLA_ITEMS" localSheetId="29">[1]AGRI!$H$10</definedName>
    <definedName name="AGRI_PLATILLA_ITEMS" localSheetId="35">[1]AGRI!$H$10</definedName>
    <definedName name="AGRI_PLATILLA_ITEMS" localSheetId="38">[1]AGRI!$H$10</definedName>
    <definedName name="AGRI_PLATILLA_ITEMS" localSheetId="9">'8711-AGRI'!$H$10</definedName>
    <definedName name="AGRI_PLATILLA_ITEMS" localSheetId="10">[2]AGRI!$H$10</definedName>
    <definedName name="AGRI_PLATILLA_ITEMS" localSheetId="8">[2]AGRI!$H$10</definedName>
    <definedName name="AGRI_PLATILLA_ITEMS">'8711-AGRI'!$H$10</definedName>
    <definedName name="AGRI_PS" localSheetId="17">[1]AGRI!$G$32</definedName>
    <definedName name="AGRI_PS" localSheetId="22">[1]AGRI!$G$32</definedName>
    <definedName name="AGRI_PS" localSheetId="29">[1]AGRI!$G$32</definedName>
    <definedName name="AGRI_PS" localSheetId="35">[1]AGRI!$G$32</definedName>
    <definedName name="AGRI_PS" localSheetId="38">[1]AGRI!$G$32</definedName>
    <definedName name="AGRI_PS" localSheetId="9">'8711-AGRI'!$G$34</definedName>
    <definedName name="AGRI_PS" localSheetId="10">[2]AGRI!$G$32</definedName>
    <definedName name="AGRI_PS" localSheetId="8">[2]AGRI!$G$32</definedName>
    <definedName name="AGRI_PS">'8711-AGRI'!$G$34</definedName>
    <definedName name="ASSESSOR_CO" localSheetId="17">[1]ASSESSOR!$G$75</definedName>
    <definedName name="ASSESSOR_CO" localSheetId="22">[1]ASSESSOR!$G$75</definedName>
    <definedName name="ASSESSOR_CO" localSheetId="29">[1]ASSESSOR!$G$75</definedName>
    <definedName name="ASSESSOR_CO" localSheetId="35">[1]ASSESSOR!$G$75</definedName>
    <definedName name="ASSESSOR_CO" localSheetId="38">[1]ASSESSOR!$G$75</definedName>
    <definedName name="ASSESSOR_CO" localSheetId="9">'1101-ASSESSOR'!$G$55</definedName>
    <definedName name="ASSESSOR_CO" localSheetId="10">[2]ASSESSOR!$G$75</definedName>
    <definedName name="ASSESSOR_CO" localSheetId="8">[2]ASSESSOR!$G$75</definedName>
    <definedName name="ASSESSOR_CO">'1101-ASSESSOR'!$G$55</definedName>
    <definedName name="ASSESSOR_MOOE" localSheetId="17">[1]ASSESSOR!$G$61</definedName>
    <definedName name="ASSESSOR_MOOE" localSheetId="22">[1]ASSESSOR!$G$61</definedName>
    <definedName name="ASSESSOR_MOOE" localSheetId="29">[1]ASSESSOR!$G$61</definedName>
    <definedName name="ASSESSOR_MOOE" localSheetId="35">[1]ASSESSOR!$G$61</definedName>
    <definedName name="ASSESSOR_MOOE" localSheetId="38">[1]ASSESSOR!$G$61</definedName>
    <definedName name="ASSESSOR_MOOE" localSheetId="9">'1101-ASSESSOR'!$G$53</definedName>
    <definedName name="ASSESSOR_MOOE" localSheetId="10">[2]ASSESSOR!$G$61</definedName>
    <definedName name="ASSESSOR_MOOE" localSheetId="8">[2]ASSESSOR!$G$61</definedName>
    <definedName name="ASSESSOR_MOOE">'1101-ASSESSOR'!$G$53</definedName>
    <definedName name="ASSESSOR_PLATILLA_ITEMS" localSheetId="17">[1]ASSESSOR!$H$10</definedName>
    <definedName name="ASSESSOR_PLATILLA_ITEMS" localSheetId="22">[1]ASSESSOR!$H$10</definedName>
    <definedName name="ASSESSOR_PLATILLA_ITEMS" localSheetId="29">[1]ASSESSOR!$H$10</definedName>
    <definedName name="ASSESSOR_PLATILLA_ITEMS" localSheetId="35">[1]ASSESSOR!$H$10</definedName>
    <definedName name="ASSESSOR_PLATILLA_ITEMS" localSheetId="38">[1]ASSESSOR!$H$10</definedName>
    <definedName name="ASSESSOR_PLATILLA_ITEMS" localSheetId="9">'1101-ASSESSOR'!$H$10</definedName>
    <definedName name="ASSESSOR_PLATILLA_ITEMS" localSheetId="10">[2]ASSESSOR!$H$10</definedName>
    <definedName name="ASSESSOR_PLATILLA_ITEMS" localSheetId="8">[2]ASSESSOR!$H$10</definedName>
    <definedName name="ASSESSOR_PLATILLA_ITEMS">'1101-ASSESSOR'!$H$10</definedName>
    <definedName name="ASSESSOR_PS" localSheetId="17">[1]ASSESSOR!$G$34</definedName>
    <definedName name="ASSESSOR_PS" localSheetId="22">[1]ASSESSOR!$G$34</definedName>
    <definedName name="ASSESSOR_PS" localSheetId="29">[1]ASSESSOR!$G$34</definedName>
    <definedName name="ASSESSOR_PS" localSheetId="35">[1]ASSESSOR!$G$34</definedName>
    <definedName name="ASSESSOR_PS" localSheetId="38">[1]ASSESSOR!$G$34</definedName>
    <definedName name="ASSESSOR_PS" localSheetId="9">'1101-ASSESSOR'!$G$36</definedName>
    <definedName name="ASSESSOR_PS" localSheetId="10">[2]ASSESSOR!$G$34</definedName>
    <definedName name="ASSESSOR_PS" localSheetId="8">[2]ASSESSOR!$G$34</definedName>
    <definedName name="ASSESSOR_PS">'1101-ASSESSOR'!$G$36</definedName>
    <definedName name="BAC_MOOE" localSheetId="17">[1]BAC!$G$36</definedName>
    <definedName name="BAC_MOOE" localSheetId="22">[1]BAC!$G$33</definedName>
    <definedName name="BAC_MOOE" localSheetId="4">'20%DF'!#REF!</definedName>
    <definedName name="BAC_MOOE" localSheetId="29">[1]BAC!$G$33</definedName>
    <definedName name="BAC_MOOE" localSheetId="35">[1]BAC!$G$33</definedName>
    <definedName name="BAC_MOOE" localSheetId="38">[1]BAC!$G$33</definedName>
    <definedName name="BAC_MOOE" localSheetId="9">'BAC-BAC'!$G$22</definedName>
    <definedName name="BAC_MOOE" localSheetId="10">[2]BAC!$G$34</definedName>
    <definedName name="BAC_MOOE" localSheetId="8">[2]BAC!$G$34</definedName>
    <definedName name="BAC_MOOE">'BAC-BAC'!$G$22</definedName>
    <definedName name="BAC_PLATILLA_ITEMS" localSheetId="17">'1031-ADMIN'!$H$10</definedName>
    <definedName name="BAC_PLATILLA_ITEMS" localSheetId="5">#REF!</definedName>
    <definedName name="BAC_PLATILLA_ITEMS">#REF!</definedName>
    <definedName name="BAC_PS" localSheetId="17">[1]BAC!$G$18</definedName>
    <definedName name="BAC_PS" localSheetId="10">[2]BAC!$G$16</definedName>
    <definedName name="BAC_PS" localSheetId="8">[2]BAC!$G$16</definedName>
    <definedName name="BAC_PS">'BAC-BAC'!$G$11</definedName>
    <definedName name="BAPAS_CO" localSheetId="17">[1]BAPAS!$G$58</definedName>
    <definedName name="BAPAS_CO" localSheetId="22">[1]BAPAS!$G$58</definedName>
    <definedName name="BAPAS_CO" localSheetId="29">[1]BAPAS!$G$58</definedName>
    <definedName name="BAPAS_CO" localSheetId="35">[1]BAPAS!$G$58</definedName>
    <definedName name="BAPAS_CO" localSheetId="38">[1]BAPAS!$G$58</definedName>
    <definedName name="BAPAS_CO" localSheetId="9">'1014-BAPAS'!$G$47</definedName>
    <definedName name="BAPAS_CO" localSheetId="10">[2]BAPAS!$G$58</definedName>
    <definedName name="BAPAS_CO" localSheetId="8">[2]BAPAS!$G$58</definedName>
    <definedName name="BAPAS_CO">'1014-BAPAS'!$G$47</definedName>
    <definedName name="BAPAS_MOOE" localSheetId="17">[1]BAPAS!$G$54</definedName>
    <definedName name="BAPAS_MOOE" localSheetId="22">[1]BAPAS!$G$54</definedName>
    <definedName name="BAPAS_MOOE" localSheetId="29">[1]BAPAS!$G$54</definedName>
    <definedName name="BAPAS_MOOE" localSheetId="35">[1]BAPAS!$G$54</definedName>
    <definedName name="BAPAS_MOOE" localSheetId="38">[1]BAPAS!$G$54</definedName>
    <definedName name="BAPAS_MOOE" localSheetId="9">'1014-BAPAS'!$G$45</definedName>
    <definedName name="BAPAS_MOOE" localSheetId="10">[2]BAPAS!$G$54</definedName>
    <definedName name="BAPAS_MOOE" localSheetId="8">[2]BAPAS!$G$54</definedName>
    <definedName name="BAPAS_MOOE">'1014-BAPAS'!$G$45</definedName>
    <definedName name="BAPAS_PLATILLA_ITEMS" localSheetId="17">[1]BAPAS!$H$10</definedName>
    <definedName name="BAPAS_PLATILLA_ITEMS" localSheetId="22">[1]BAPAS!$H$10</definedName>
    <definedName name="BAPAS_PLATILLA_ITEMS" localSheetId="29">[1]BAPAS!$H$10</definedName>
    <definedName name="BAPAS_PLATILLA_ITEMS" localSheetId="35">[1]BAPAS!$H$10</definedName>
    <definedName name="BAPAS_PLATILLA_ITEMS" localSheetId="38">[1]BAPAS!$H$10</definedName>
    <definedName name="BAPAS_PLATILLA_ITEMS" localSheetId="9">'1014-BAPAS'!$H$10</definedName>
    <definedName name="BAPAS_PLATILLA_ITEMS" localSheetId="10">[2]BAPAS!$H$10</definedName>
    <definedName name="BAPAS_PLATILLA_ITEMS" localSheetId="8">[2]BAPAS!$H$10</definedName>
    <definedName name="BAPAS_PLATILLA_ITEMS">'1014-BAPAS'!$H$10</definedName>
    <definedName name="BAPAS_PS" localSheetId="17">[1]BAPAS!$G$31</definedName>
    <definedName name="BAPAS_PS" localSheetId="22">[1]BAPAS!$G$31</definedName>
    <definedName name="BAPAS_PS" localSheetId="29">[1]BAPAS!$G$31</definedName>
    <definedName name="BAPAS_PS" localSheetId="35">[1]BAPAS!$G$31</definedName>
    <definedName name="BAPAS_PS" localSheetId="38">[1]BAPAS!$G$31</definedName>
    <definedName name="BAPAS_PS" localSheetId="9">'1014-BAPAS'!$G$34</definedName>
    <definedName name="BAPAS_PS" localSheetId="10">[2]BAPAS!$G$31</definedName>
    <definedName name="BAPAS_PS" localSheetId="8">[2]BAPAS!$G$31</definedName>
    <definedName name="BAPAS_PS">'1014-BAPAS'!$G$34</definedName>
    <definedName name="CBO_CO" localSheetId="17">[1]CBO!$G$64</definedName>
    <definedName name="CBO_CO" localSheetId="22">[1]CBO!$G$64</definedName>
    <definedName name="CBO_CO" localSheetId="29">[1]CBO!$G$64</definedName>
    <definedName name="CBO_CO" localSheetId="35">[1]CBO!$G$64</definedName>
    <definedName name="CBO_CO" localSheetId="38">[1]CBO!$G$64</definedName>
    <definedName name="CBO_CO" localSheetId="9">'1071-CBO'!$G$49</definedName>
    <definedName name="CBO_CO" localSheetId="10">[2]CBO!$G$64</definedName>
    <definedName name="CBO_CO" localSheetId="8">[2]CBO!$G$64</definedName>
    <definedName name="CBO_CO">'1071-CBO'!$G$49</definedName>
    <definedName name="CBO_MOOE" localSheetId="17">[1]CBO!$G$58</definedName>
    <definedName name="CBO_MOOE" localSheetId="22">[1]CBO!$G$58</definedName>
    <definedName name="CBO_MOOE" localSheetId="29">[1]CBO!$G$58</definedName>
    <definedName name="CBO_MOOE" localSheetId="35">[1]CBO!$G$58</definedName>
    <definedName name="CBO_MOOE" localSheetId="38">[1]CBO!$G$58</definedName>
    <definedName name="CBO_MOOE" localSheetId="9">'1071-CBO'!$G$47</definedName>
    <definedName name="CBO_MOOE" localSheetId="10">[2]CBO!$G$58</definedName>
    <definedName name="CBO_MOOE" localSheetId="8">[2]CBO!$G$58</definedName>
    <definedName name="CBO_MOOE">'1071-CBO'!$G$47</definedName>
    <definedName name="CBO_PLATILLA_ITEMS" localSheetId="17">[1]CBO!$H$10</definedName>
    <definedName name="CBO_PLATILLA_ITEMS" localSheetId="22">[1]CBO!$H$10</definedName>
    <definedName name="CBO_PLATILLA_ITEMS" localSheetId="29">[1]CBO!$H$10</definedName>
    <definedName name="CBO_PLATILLA_ITEMS" localSheetId="35">[1]CBO!$H$10</definedName>
    <definedName name="CBO_PLATILLA_ITEMS" localSheetId="38">[1]CBO!$H$10</definedName>
    <definedName name="CBO_PLATILLA_ITEMS" localSheetId="9">'1071-CBO'!$H$10</definedName>
    <definedName name="CBO_PLATILLA_ITEMS" localSheetId="10">[2]CBO!$H$10</definedName>
    <definedName name="CBO_PLATILLA_ITEMS" localSheetId="8">[2]CBO!$H$10</definedName>
    <definedName name="CBO_PLATILLA_ITEMS">'1071-CBO'!$H$10</definedName>
    <definedName name="CBO_PS" localSheetId="17">[1]CBO!$G$34</definedName>
    <definedName name="CBO_PS" localSheetId="22">[1]CBO!$G$34</definedName>
    <definedName name="CBO_PS" localSheetId="29">[1]CBO!$G$34</definedName>
    <definedName name="CBO_PS" localSheetId="35">[1]CBO!$G$34</definedName>
    <definedName name="CBO_PS" localSheetId="38">[1]CBO!$G$34</definedName>
    <definedName name="CBO_PS" localSheetId="9">'1071-CBO'!$G$35</definedName>
    <definedName name="CBO_PS" localSheetId="10">[2]CBO!$G$34</definedName>
    <definedName name="CBO_PS" localSheetId="8">[2]CBO!$G$34</definedName>
    <definedName name="CBO_PS">'1071-CBO'!$G$35</definedName>
    <definedName name="CCRO_CO" localSheetId="17">[1]CCRO!$G$61</definedName>
    <definedName name="CCRO_CO" localSheetId="22">[1]CCRO!$G$61</definedName>
    <definedName name="CCRO_CO" localSheetId="29">[1]CCRO!$G$61</definedName>
    <definedName name="CCRO_CO" localSheetId="35">[1]CCRO!$G$61</definedName>
    <definedName name="CCRO_CO" localSheetId="38">[1]CCRO!$G$61</definedName>
    <definedName name="CCRO_CO" localSheetId="9">'1051-CCRO'!$G$50</definedName>
    <definedName name="CCRO_CO" localSheetId="10">[2]CCRO!$G$61</definedName>
    <definedName name="CCRO_CO" localSheetId="8">[2]CCRO!$G$61</definedName>
    <definedName name="CCRO_CO">'1051-CCRO'!$G$50</definedName>
    <definedName name="CCRO_MOOE" localSheetId="17">[1]CCRO!$G$56</definedName>
    <definedName name="CCRO_MOOE" localSheetId="22">[1]CCRO!$G$56</definedName>
    <definedName name="CCRO_MOOE" localSheetId="29">[1]CCRO!$G$56</definedName>
    <definedName name="CCRO_MOOE" localSheetId="35">[1]CCRO!$G$56</definedName>
    <definedName name="CCRO_MOOE" localSheetId="38">[1]CCRO!$G$56</definedName>
    <definedName name="CCRO_MOOE" localSheetId="9">'1051-CCRO'!$G$48</definedName>
    <definedName name="CCRO_MOOE" localSheetId="10">[2]CCRO!$G$56</definedName>
    <definedName name="CCRO_MOOE" localSheetId="8">[2]CCRO!$G$56</definedName>
    <definedName name="CCRO_MOOE">'1051-CCRO'!$G$48</definedName>
    <definedName name="CCRO_PLATILLA_ITEMS" localSheetId="17">[1]CCRO!$H$10</definedName>
    <definedName name="CCRO_PLATILLA_ITEMS" localSheetId="22">[1]CCRO!$H$10</definedName>
    <definedName name="CCRO_PLATILLA_ITEMS" localSheetId="29">[1]CCRO!$H$10</definedName>
    <definedName name="CCRO_PLATILLA_ITEMS" localSheetId="35">[1]CCRO!$H$10</definedName>
    <definedName name="CCRO_PLATILLA_ITEMS" localSheetId="38">[1]CCRO!$H$10</definedName>
    <definedName name="CCRO_PLATILLA_ITEMS" localSheetId="9">'1051-CCRO'!$H$10</definedName>
    <definedName name="CCRO_PLATILLA_ITEMS" localSheetId="10">[2]CCRO!$H$10</definedName>
    <definedName name="CCRO_PLATILLA_ITEMS" localSheetId="8">[2]CCRO!$H$10</definedName>
    <definedName name="CCRO_PLATILLA_ITEMS">'1051-CCRO'!$H$10</definedName>
    <definedName name="CCRO_PS" localSheetId="17">[1]CCRO!$G$34</definedName>
    <definedName name="CCRO_PS" localSheetId="22">[1]CCRO!$G$34</definedName>
    <definedName name="CCRO_PS" localSheetId="29">[1]CCRO!$G$34</definedName>
    <definedName name="CCRO_PS" localSheetId="35">[1]CCRO!$G$34</definedName>
    <definedName name="CCRO_PS" localSheetId="38">[1]CCRO!$G$34</definedName>
    <definedName name="CCRO_PS" localSheetId="9">'1051-CCRO'!$G$35</definedName>
    <definedName name="CCRO_PS" localSheetId="10">[2]CCRO!$G$34</definedName>
    <definedName name="CCRO_PS" localSheetId="8">[2]CCRO!$G$34</definedName>
    <definedName name="CCRO_PS">'1051-CCRO'!$G$35</definedName>
    <definedName name="CDO_CO" localSheetId="17">[1]CDO!$G$42</definedName>
    <definedName name="CDO_CO" localSheetId="22">[1]CDO!$G$42</definedName>
    <definedName name="CDO_CO" localSheetId="29">[1]CDO!$G$42</definedName>
    <definedName name="CDO_CO" localSheetId="35">[1]CDO!$G$42</definedName>
    <definedName name="CDO_CO" localSheetId="38">[1]CDO!$G$42</definedName>
    <definedName name="CDO_CO" localSheetId="9">'CCDO-CCDO'!$G$43</definedName>
    <definedName name="CDO_CO" localSheetId="10">[2]CDO!$G$42</definedName>
    <definedName name="CDO_CO" localSheetId="8">[2]CDO!$G$42</definedName>
    <definedName name="CDO_CO">'CCDO-CCDO'!$G$43</definedName>
    <definedName name="CDO_MOOE" localSheetId="17">[1]CDO!$G$40</definedName>
    <definedName name="CDO_MOOE" localSheetId="22">[1]CDO!$G$40</definedName>
    <definedName name="CDO_MOOE" localSheetId="29">[1]CDO!$G$40</definedName>
    <definedName name="CDO_MOOE" localSheetId="35">[1]CDO!$G$40</definedName>
    <definedName name="CDO_MOOE" localSheetId="38">[1]CDO!$G$40</definedName>
    <definedName name="CDO_MOOE" localSheetId="9">'CCDO-CCDO'!$G$41</definedName>
    <definedName name="CDO_MOOE" localSheetId="10">[2]CDO!$G$40</definedName>
    <definedName name="CDO_MOOE" localSheetId="8">[2]CDO!$G$40</definedName>
    <definedName name="CDO_MOOE">'CCDO-CCDO'!$G$41</definedName>
    <definedName name="CDO_PLATILLA_ITEMS" localSheetId="17">[1]CDO!$H$10</definedName>
    <definedName name="CDO_PLATILLA_ITEMS" localSheetId="22">[1]CDO!$H$10</definedName>
    <definedName name="CDO_PLATILLA_ITEMS" localSheetId="29">[1]CDO!$H$10</definedName>
    <definedName name="CDO_PLATILLA_ITEMS" localSheetId="35">[1]CDO!$H$10</definedName>
    <definedName name="CDO_PLATILLA_ITEMS" localSheetId="38">[1]CDO!$H$10</definedName>
    <definedName name="CDO_PLATILLA_ITEMS" localSheetId="9">'CCDO-CCDO'!$H$10</definedName>
    <definedName name="CDO_PLATILLA_ITEMS" localSheetId="10">[2]CDO!$H$10</definedName>
    <definedName name="CDO_PLATILLA_ITEMS" localSheetId="8">[2]CDO!$H$10</definedName>
    <definedName name="CDO_PLATILLA_ITEMS">'CCDO-CCDO'!$H$10</definedName>
    <definedName name="CDO_PS" localSheetId="17">[1]CDO!$G$31</definedName>
    <definedName name="CDO_PS" localSheetId="22">[1]CDO!$G$31</definedName>
    <definedName name="CDO_PS" localSheetId="29">[1]CDO!$G$31</definedName>
    <definedName name="CDO_PS" localSheetId="35">[1]CDO!$G$31</definedName>
    <definedName name="CDO_PS" localSheetId="38">[1]CDO!$G$31</definedName>
    <definedName name="CDO_PS" localSheetId="9">'CCDO-CCDO'!$G$30</definedName>
    <definedName name="CDO_PS" localSheetId="10">[2]CDO!$G$31</definedName>
    <definedName name="CDO_PS" localSheetId="8">[2]CDO!$G$31</definedName>
    <definedName name="CDO_PS">'CCDO-CCDO'!$G$30</definedName>
    <definedName name="CDRRMO_CO" localSheetId="17">[1]CDRRMO!$G$60</definedName>
    <definedName name="CDRRMO_CO" localSheetId="22">[1]CDRRMO!$G$60</definedName>
    <definedName name="CDRRMO_CO" localSheetId="29">[1]CDRRMO!$G$49</definedName>
    <definedName name="CDRRMO_CO" localSheetId="35">[1]CDRRMO!$G$49</definedName>
    <definedName name="CDRRMO_CO" localSheetId="38">'CDRRMO-CDRRMO'!$G$48</definedName>
    <definedName name="CDRRMO_CO" localSheetId="9">#REF!</definedName>
    <definedName name="CDRRMO_CO" localSheetId="10">#REF!</definedName>
    <definedName name="CDRRMO_CO" localSheetId="8">#REF!</definedName>
    <definedName name="CDRRMO_CO" localSheetId="5">#REF!</definedName>
    <definedName name="CDRRMO_CO">#REF!</definedName>
    <definedName name="CDRRMO_MOOE" localSheetId="17">[1]CDRRMO!$G$53</definedName>
    <definedName name="CDRRMO_MOOE" localSheetId="22">[1]CDRRMO!$G$53</definedName>
    <definedName name="CDRRMO_MOOE" localSheetId="29">[1]CDRRMO!$G$47</definedName>
    <definedName name="CDRRMO_MOOE" localSheetId="35">[1]CDRRMO!$G$47</definedName>
    <definedName name="CDRRMO_MOOE" localSheetId="38">'CDRRMO-CDRRMO'!$G$46</definedName>
    <definedName name="CDRRMO_MOOE" localSheetId="9">#REF!</definedName>
    <definedName name="CDRRMO_MOOE" localSheetId="10">#REF!</definedName>
    <definedName name="CDRRMO_MOOE" localSheetId="8">#REF!</definedName>
    <definedName name="CDRRMO_MOOE" localSheetId="5">#REF!</definedName>
    <definedName name="CDRRMO_MOOE">#REF!</definedName>
    <definedName name="CDRRMO_PLATILLA_ITEMS" localSheetId="17">[1]CDRRMO!$H$10</definedName>
    <definedName name="CDRRMO_PLATILLA_ITEMS" localSheetId="22">[1]CDRRMO!$H$10</definedName>
    <definedName name="CDRRMO_PLATILLA_ITEMS" localSheetId="29">[1]CDRRMO!$H$10</definedName>
    <definedName name="CDRRMO_PLATILLA_ITEMS" localSheetId="35">[1]CDRRMO!$H$10</definedName>
    <definedName name="CDRRMO_PLATILLA_ITEMS" localSheetId="38">'CDRRMO-CDRRMO'!$H$10</definedName>
    <definedName name="CDRRMO_PLATILLA_ITEMS" localSheetId="9">#REF!</definedName>
    <definedName name="CDRRMO_PLATILLA_ITEMS" localSheetId="10">#REF!</definedName>
    <definedName name="CDRRMO_PLATILLA_ITEMS" localSheetId="8">#REF!</definedName>
    <definedName name="CDRRMO_PLATILLA_ITEMS" localSheetId="5">#REF!</definedName>
    <definedName name="CDRRMO_PLATILLA_ITEMS">#REF!</definedName>
    <definedName name="CDRRMO_PS" localSheetId="17">[1]CDRRMO!$G$31</definedName>
    <definedName name="CDRRMO_PS" localSheetId="22">[1]CDRRMO!$G$31</definedName>
    <definedName name="CDRRMO_PS" localSheetId="29">[1]CDRRMO!$G$31</definedName>
    <definedName name="CDRRMO_PS" localSheetId="35">[1]CDRRMO!$G$31</definedName>
    <definedName name="CDRRMO_PS" localSheetId="38">'CDRRMO-CDRRMO'!$G$33</definedName>
    <definedName name="CDRRMO_PS" localSheetId="9">#REF!</definedName>
    <definedName name="CDRRMO_PS" localSheetId="10">#REF!</definedName>
    <definedName name="CDRRMO_PS" localSheetId="8">#REF!</definedName>
    <definedName name="CDRRMO_PS" localSheetId="5">#REF!</definedName>
    <definedName name="CDRRMO_PS">#REF!</definedName>
    <definedName name="CENRO_CO" localSheetId="17">'[1]CENRO '!$G$60</definedName>
    <definedName name="CENRO_CO" localSheetId="22">'[1]CENRO '!$G$60</definedName>
    <definedName name="CENRO_CO" localSheetId="29">'[1]CENRO '!$G$60</definedName>
    <definedName name="CENRO_CO" localSheetId="35">'[1]CENRO '!$G$60</definedName>
    <definedName name="CENRO_CO" localSheetId="38">'[1]CENRO '!$G$60</definedName>
    <definedName name="CENRO_CO" localSheetId="9">'8731-CENRO'!$G$46</definedName>
    <definedName name="CENRO_CO" localSheetId="10">'[2]CENRO '!$G$61</definedName>
    <definedName name="CENRO_CO" localSheetId="8">'[2]CENRO '!$G$61</definedName>
    <definedName name="CENRO_CO">'8731-CENRO'!$G$46</definedName>
    <definedName name="CENRO_MOOE" localSheetId="17">'[1]CENRO '!$G$51</definedName>
    <definedName name="CENRO_MOOE" localSheetId="22">'[1]CENRO '!$G$51</definedName>
    <definedName name="CENRO_MOOE" localSheetId="29">'[1]CENRO '!$G$51</definedName>
    <definedName name="CENRO_MOOE" localSheetId="35">'[1]CENRO '!$G$51</definedName>
    <definedName name="CENRO_MOOE" localSheetId="38">'[1]CENRO '!$G$51</definedName>
    <definedName name="CENRO_MOOE" localSheetId="9">'8731-CENRO'!$G$44</definedName>
    <definedName name="CENRO_MOOE" localSheetId="10">'[2]CENRO '!$G$52</definedName>
    <definedName name="CENRO_MOOE" localSheetId="8">'[2]CENRO '!$G$52</definedName>
    <definedName name="CENRO_MOOE">'8731-CENRO'!$G$44</definedName>
    <definedName name="CENRO_PLATILLA_ITEMS" localSheetId="17">'[1]CENRO '!$H$10</definedName>
    <definedName name="CENRO_PLATILLA_ITEMS" localSheetId="22">'[1]CENRO '!$H$10</definedName>
    <definedName name="CENRO_PLATILLA_ITEMS" localSheetId="29">'[1]CENRO '!$H$10</definedName>
    <definedName name="CENRO_PLATILLA_ITEMS" localSheetId="35">'[1]CENRO '!$H$10</definedName>
    <definedName name="CENRO_PLATILLA_ITEMS" localSheetId="38">'[1]CENRO '!$H$10</definedName>
    <definedName name="CENRO_PLATILLA_ITEMS" localSheetId="9">'8731-CENRO'!$H$10</definedName>
    <definedName name="CENRO_PLATILLA_ITEMS" localSheetId="10">'[2]CENRO '!$H$10</definedName>
    <definedName name="CENRO_PLATILLA_ITEMS" localSheetId="8">'[2]CENRO '!$H$10</definedName>
    <definedName name="CENRO_PLATILLA_ITEMS">'8731-CENRO'!$H$10</definedName>
    <definedName name="CENRO_PS" localSheetId="17">'[1]CENRO '!$G$33</definedName>
    <definedName name="CENRO_PS" localSheetId="22">'[1]CENRO '!$G$33</definedName>
    <definedName name="CENRO_PS" localSheetId="29">'[1]CENRO '!$G$33</definedName>
    <definedName name="CENRO_PS" localSheetId="35">'[1]CENRO '!$G$33</definedName>
    <definedName name="CENRO_PS" localSheetId="38">'[1]CENRO '!$G$33</definedName>
    <definedName name="CENRO_PS" localSheetId="9">'8731-CENRO'!$G$35</definedName>
    <definedName name="CENRO_PS" localSheetId="10">'[2]CENRO '!$G$34</definedName>
    <definedName name="CENRO_PS" localSheetId="8">'[2]CENRO '!$G$34</definedName>
    <definedName name="CENRO_PS">'8731-CENRO'!$G$35</definedName>
    <definedName name="CGSO_CO" localSheetId="17">[1]CGSO!$G$82</definedName>
    <definedName name="CGSO_CO" localSheetId="22">'1061-CGSO'!$G$80</definedName>
    <definedName name="CGSO_CO" localSheetId="29">[1]CGSO!$G$79</definedName>
    <definedName name="CGSO_CO" localSheetId="35">[1]CGSO!$G$79</definedName>
    <definedName name="CGSO_CO" localSheetId="38">[1]CGSO!$G$79</definedName>
    <definedName name="CGSO_CO" localSheetId="9">#REF!</definedName>
    <definedName name="CGSO_CO" localSheetId="10">#REF!</definedName>
    <definedName name="CGSO_CO" localSheetId="8">#REF!</definedName>
    <definedName name="CGSO_CO" localSheetId="5">#REF!</definedName>
    <definedName name="CGSO_CO">#REF!</definedName>
    <definedName name="CGSO_MOOE" localSheetId="17">[1]CGSO!$G$67</definedName>
    <definedName name="CGSO_MOOE" localSheetId="22">'1061-CGSO'!$G$66</definedName>
    <definedName name="CGSO_MOOE" localSheetId="29">[1]CGSO!$G$65</definedName>
    <definedName name="CGSO_MOOE" localSheetId="35">[1]CGSO!$G$65</definedName>
    <definedName name="CGSO_MOOE" localSheetId="38">[1]CGSO!$G$65</definedName>
    <definedName name="CGSO_MOOE" localSheetId="9">#REF!</definedName>
    <definedName name="CGSO_MOOE" localSheetId="10">#REF!</definedName>
    <definedName name="CGSO_MOOE" localSheetId="8">#REF!</definedName>
    <definedName name="CGSO_MOOE" localSheetId="5">#REF!</definedName>
    <definedName name="CGSO_MOOE">#REF!</definedName>
    <definedName name="CGSO_PLATILLA_ITEMS" localSheetId="17">[1]CGSO!$H$10</definedName>
    <definedName name="CGSO_PLATILLA_ITEMS" localSheetId="22">'1061-CGSO'!$H$10</definedName>
    <definedName name="CGSO_PLATILLA_ITEMS" localSheetId="29">[1]CGSO!$H$10</definedName>
    <definedName name="CGSO_PLATILLA_ITEMS" localSheetId="35">[1]CGSO!$H$10</definedName>
    <definedName name="CGSO_PLATILLA_ITEMS" localSheetId="38">[1]CGSO!$H$10</definedName>
    <definedName name="CGSO_PLATILLA_ITEMS" localSheetId="9">#REF!</definedName>
    <definedName name="CGSO_PLATILLA_ITEMS" localSheetId="10">#REF!</definedName>
    <definedName name="CGSO_PLATILLA_ITEMS" localSheetId="8">#REF!</definedName>
    <definedName name="CGSO_PLATILLA_ITEMS" localSheetId="5">#REF!</definedName>
    <definedName name="CGSO_PLATILLA_ITEMS">#REF!</definedName>
    <definedName name="CGSO_PS" localSheetId="17">[1]CGSO!$G$33</definedName>
    <definedName name="CGSO_PS" localSheetId="22">'1061-CGSO'!$G$35</definedName>
    <definedName name="CGSO_PS" localSheetId="29">[1]CGSO!$G$33</definedName>
    <definedName name="CGSO_PS" localSheetId="35">[1]CGSO!$G$33</definedName>
    <definedName name="CGSO_PS" localSheetId="38">[1]CGSO!$G$33</definedName>
    <definedName name="CGSO_PS" localSheetId="9">#REF!</definedName>
    <definedName name="CGSO_PS" localSheetId="10">#REF!</definedName>
    <definedName name="CGSO_PS" localSheetId="8">#REF!</definedName>
    <definedName name="CGSO_PS" localSheetId="5">#REF!</definedName>
    <definedName name="CGSO_PS">#REF!</definedName>
    <definedName name="CHO_CO" localSheetId="17">[1]CHO!$G$88</definedName>
    <definedName name="CHO_CO" localSheetId="22">[1]CHO!$G$88</definedName>
    <definedName name="CHO_CO" localSheetId="29">'4411-CHO'!$G$83</definedName>
    <definedName name="CHO_CO" localSheetId="35">[1]CHO!$G$88</definedName>
    <definedName name="CHO_CO" localSheetId="38">[1]CHO!$G$88</definedName>
    <definedName name="CHO_CO" localSheetId="9">#REF!</definedName>
    <definedName name="CHO_CO" localSheetId="10">#REF!</definedName>
    <definedName name="CHO_CO" localSheetId="8">#REF!</definedName>
    <definedName name="CHO_CO" localSheetId="5">#REF!</definedName>
    <definedName name="CHO_CO">#REF!</definedName>
    <definedName name="CHO_MOOE" localSheetId="17">[1]CHO!$G$79</definedName>
    <definedName name="CHO_MOOE" localSheetId="22">[1]CHO!$G$79</definedName>
    <definedName name="CHO_MOOE" localSheetId="29">'4411-CHO'!$G$81</definedName>
    <definedName name="CHO_MOOE" localSheetId="35">[1]CHO!$G$79</definedName>
    <definedName name="CHO_MOOE" localSheetId="38">[1]CHO!$G$79</definedName>
    <definedName name="CHO_MOOE" localSheetId="9">#REF!</definedName>
    <definedName name="CHO_MOOE" localSheetId="10">#REF!</definedName>
    <definedName name="CHO_MOOE" localSheetId="8">#REF!</definedName>
    <definedName name="CHO_MOOE" localSheetId="5">#REF!</definedName>
    <definedName name="CHO_MOOE">#REF!</definedName>
    <definedName name="CHO_PLATILLA_ITEMS" localSheetId="17">[1]CHO!$H$10</definedName>
    <definedName name="CHO_PLATILLA_ITEMS" localSheetId="22">[1]CHO!$H$10</definedName>
    <definedName name="CHO_PLATILLA_ITEMS" localSheetId="29">'4411-CHO'!$H$10</definedName>
    <definedName name="CHO_PLATILLA_ITEMS" localSheetId="35">[1]CHO!$H$10</definedName>
    <definedName name="CHO_PLATILLA_ITEMS" localSheetId="38">[1]CHO!$H$10</definedName>
    <definedName name="CHO_PLATILLA_ITEMS" localSheetId="9">#REF!</definedName>
    <definedName name="CHO_PLATILLA_ITEMS" localSheetId="10">#REF!</definedName>
    <definedName name="CHO_PLATILLA_ITEMS" localSheetId="8">#REF!</definedName>
    <definedName name="CHO_PLATILLA_ITEMS" localSheetId="5">#REF!</definedName>
    <definedName name="CHO_PLATILLA_ITEMS">#REF!</definedName>
    <definedName name="CHO_PS" localSheetId="17">[1]CHO!$G$36</definedName>
    <definedName name="CHO_PS" localSheetId="22">[1]CHO!$G$36</definedName>
    <definedName name="CHO_PS" localSheetId="29">'4411-CHO'!$G$40</definedName>
    <definedName name="CHO_PS" localSheetId="35">[1]CHO!$G$36</definedName>
    <definedName name="CHO_PS" localSheetId="38">[1]CHO!$G$36</definedName>
    <definedName name="CHO_PS" localSheetId="9">#REF!</definedName>
    <definedName name="CHO_PS" localSheetId="10">#REF!</definedName>
    <definedName name="CHO_PS" localSheetId="8">#REF!</definedName>
    <definedName name="CHO_PS" localSheetId="5">#REF!</definedName>
    <definedName name="CHO_PS">#REF!</definedName>
    <definedName name="CHRMO_CO" localSheetId="17">[1]CHRMO!$G$60</definedName>
    <definedName name="CHRMO_CO" localSheetId="22">[1]CHRMO!$G$60</definedName>
    <definedName name="CHRMO_CO" localSheetId="29">[1]CHRMO!$G$60</definedName>
    <definedName name="CHRMO_CO" localSheetId="35">[1]CHRMO!$G$60</definedName>
    <definedName name="CHRMO_CO" localSheetId="38">[1]CHRMO!$G$60</definedName>
    <definedName name="CHRMO_CO" localSheetId="9">'1032-CHRMO'!$G$49</definedName>
    <definedName name="CHRMO_CO" localSheetId="10">[2]CHRMO!$G$60</definedName>
    <definedName name="CHRMO_CO" localSheetId="8">[2]CHRMO!$G$60</definedName>
    <definedName name="CHRMO_CO">'1032-CHRMO'!$G$49</definedName>
    <definedName name="CHRMO_MOOE" localSheetId="17">[1]CHRMO!$G$53</definedName>
    <definedName name="CHRMO_MOOE" localSheetId="22">[1]CHRMO!$G$53</definedName>
    <definedName name="CHRMO_MOOE" localSheetId="29">[1]CHRMO!$G$53</definedName>
    <definedName name="CHRMO_MOOE" localSheetId="35">[1]CHRMO!$G$53</definedName>
    <definedName name="CHRMO_MOOE" localSheetId="38">[1]CHRMO!$G$53</definedName>
    <definedName name="CHRMO_MOOE" localSheetId="9">'1032-CHRMO'!$G$47</definedName>
    <definedName name="CHRMO_MOOE" localSheetId="10">[2]CHRMO!$G$53</definedName>
    <definedName name="CHRMO_MOOE" localSheetId="8">[2]CHRMO!$G$53</definedName>
    <definedName name="CHRMO_MOOE">'1032-CHRMO'!$G$47</definedName>
    <definedName name="CHRMO_PLATILLA_ITEMS" localSheetId="17">[1]CHRMO!$H$10</definedName>
    <definedName name="CHRMO_PLATILLA_ITEMS" localSheetId="22">[1]CHRMO!$H$10</definedName>
    <definedName name="CHRMO_PLATILLA_ITEMS" localSheetId="29">[1]CHRMO!$H$10</definedName>
    <definedName name="CHRMO_PLATILLA_ITEMS" localSheetId="35">[1]CHRMO!$H$10</definedName>
    <definedName name="CHRMO_PLATILLA_ITEMS" localSheetId="38">[1]CHRMO!$H$10</definedName>
    <definedName name="CHRMO_PLATILLA_ITEMS" localSheetId="9">'1032-CHRMO'!$H$10</definedName>
    <definedName name="CHRMO_PLATILLA_ITEMS" localSheetId="10">[2]CHRMO!$H$10</definedName>
    <definedName name="CHRMO_PLATILLA_ITEMS" localSheetId="8">[2]CHRMO!$H$10</definedName>
    <definedName name="CHRMO_PLATILLA_ITEMS">'1032-CHRMO'!$H$10</definedName>
    <definedName name="CHRMO_PS" localSheetId="17">[1]CHRMO!$G$34</definedName>
    <definedName name="CHRMO_PS" localSheetId="22">[1]CHRMO!$G$34</definedName>
    <definedName name="CHRMO_PS" localSheetId="29">[1]CHRMO!$G$34</definedName>
    <definedName name="CHRMO_PS" localSheetId="35">[1]CHRMO!$G$34</definedName>
    <definedName name="CHRMO_PS" localSheetId="38">[1]CHRMO!$G$34</definedName>
    <definedName name="CHRMO_PS" localSheetId="9">'1032-CHRMO'!$G$36</definedName>
    <definedName name="CHRMO_PS" localSheetId="10">[2]CHRMO!$G$34</definedName>
    <definedName name="CHRMO_PS" localSheetId="8">[2]CHRMO!$G$34</definedName>
    <definedName name="CHRMO_PS">'1032-CHRMO'!$G$36</definedName>
    <definedName name="CMO_CO" localSheetId="17">[1]CMO!$G$91</definedName>
    <definedName name="CMO_CO" localSheetId="22">[1]CMO!$G$90</definedName>
    <definedName name="CMO_CO" localSheetId="29">[1]CMO!$G$90</definedName>
    <definedName name="CMO_CO" localSheetId="35">[1]CMO!$G$90</definedName>
    <definedName name="CMO_CO" localSheetId="38">[1]CMO!$G$90</definedName>
    <definedName name="CMO_CO" localSheetId="9">'CMO - SPPA'!#REF!</definedName>
    <definedName name="CMO_CO" localSheetId="10">'SPPA FORM2A'!#REF!</definedName>
    <definedName name="CMO_CO" localSheetId="8">'SPPA-CMO 2021'!#REF!</definedName>
    <definedName name="CMO_CO">'1011-CMO'!$G$92</definedName>
    <definedName name="CMO_MOOE" localSheetId="17">[1]CMO!$G$79</definedName>
    <definedName name="CMO_MOOE" localSheetId="22">[1]CMO!$G$78</definedName>
    <definedName name="CMO_MOOE" localSheetId="29">[1]CMO!$G$78</definedName>
    <definedName name="CMO_MOOE" localSheetId="35">[1]CMO!$G$78</definedName>
    <definedName name="CMO_MOOE" localSheetId="38">[1]CMO!$G$78</definedName>
    <definedName name="CMO_MOOE" localSheetId="9">'CMO - SPPA'!#REF!</definedName>
    <definedName name="CMO_MOOE" localSheetId="10">'SPPA FORM2A'!#REF!</definedName>
    <definedName name="CMO_MOOE" localSheetId="8">'SPPA-CMO 2021'!#REF!</definedName>
    <definedName name="CMO_MOOE">'1011-CMO'!$G$89</definedName>
    <definedName name="CMO_PLATILLA_ITEMS" localSheetId="17">[1]CMO!$H$10</definedName>
    <definedName name="CMO_PLATILLA_ITEMS" localSheetId="22">[1]CMO!$H$10</definedName>
    <definedName name="CMO_PLATILLA_ITEMS" localSheetId="29">[1]CMO!$H$10</definedName>
    <definedName name="CMO_PLATILLA_ITEMS" localSheetId="35">[1]CMO!$H$10</definedName>
    <definedName name="CMO_PLATILLA_ITEMS" localSheetId="38">[1]CMO!$H$10</definedName>
    <definedName name="CMO_PLATILLA_ITEMS" localSheetId="9">'1011-CMO'!$H$10</definedName>
    <definedName name="CMO_PLATILLA_ITEMS" localSheetId="10">[2]CMO!$H$10</definedName>
    <definedName name="CMO_PLATILLA_ITEMS" localSheetId="8">[2]CMO!$H$10</definedName>
    <definedName name="CMO_PLATILLA_ITEMS">'1011-CMO'!$H$10</definedName>
    <definedName name="CMO_PS" localSheetId="17">[1]CMO!$G$33</definedName>
    <definedName name="CMO_PS" localSheetId="22">[1]CMO!$G$33</definedName>
    <definedName name="CMO_PS" localSheetId="29">[1]CMO!$G$33</definedName>
    <definedName name="CMO_PS" localSheetId="35">[1]CMO!$G$33</definedName>
    <definedName name="CMO_PS" localSheetId="38">[1]CMO!$G$33</definedName>
    <definedName name="CMO_PS" localSheetId="9">'CMO - SPPA'!#REF!</definedName>
    <definedName name="CMO_PS" localSheetId="10">'SPPA FORM2A'!#REF!</definedName>
    <definedName name="CMO_PS" localSheetId="8">'SPPA-CMO 2021'!#REF!</definedName>
    <definedName name="CMO_PS">'1011-CMO'!$G$37</definedName>
    <definedName name="CMO_SPPA_TOTAL" localSheetId="10">'SPPA FORM2A'!$F$392</definedName>
    <definedName name="CMO_SPPA_TOTAL" localSheetId="8">'SPPA-CMO 2021'!$G$416</definedName>
    <definedName name="CMO_SPPA_TOTAL">#REF!</definedName>
    <definedName name="CPDO_CO" localSheetId="17">[1]CPDO!$G$60</definedName>
    <definedName name="CPDO_CO" localSheetId="22">[1]CPDO!$G$60</definedName>
    <definedName name="CPDO_CO" localSheetId="29">[1]CPDO!$G$60</definedName>
    <definedName name="CPDO_CO" localSheetId="35">[1]CPDO!$G$60</definedName>
    <definedName name="CPDO_CO" localSheetId="38">[1]CPDO!$G$60</definedName>
    <definedName name="CPDO_CO" localSheetId="9">'1041-CPDO'!$G$47</definedName>
    <definedName name="CPDO_CO" localSheetId="10">[2]CPDO!$G$60</definedName>
    <definedName name="CPDO_CO" localSheetId="8">[2]CPDO!$G$60</definedName>
    <definedName name="CPDO_CO">'1041-CPDO'!$G$47</definedName>
    <definedName name="CPDO_MOOE" localSheetId="17">[1]CPDO!$G$53</definedName>
    <definedName name="CPDO_MOOE" localSheetId="22">[1]CPDO!$G$53</definedName>
    <definedName name="CPDO_MOOE" localSheetId="29">[1]CPDO!$G$53</definedName>
    <definedName name="CPDO_MOOE" localSheetId="35">[1]CPDO!$G$53</definedName>
    <definedName name="CPDO_MOOE" localSheetId="38">[1]CPDO!$G$53</definedName>
    <definedName name="CPDO_MOOE" localSheetId="9">'1041-CPDO'!$G$45</definedName>
    <definedName name="CPDO_MOOE" localSheetId="10">[2]CPDO!$G$53</definedName>
    <definedName name="CPDO_MOOE" localSheetId="8">[2]CPDO!$G$53</definedName>
    <definedName name="CPDO_MOOE">'1041-CPDO'!$G$45</definedName>
    <definedName name="CPDO_PLATILLA_ITEMS" localSheetId="17">[1]CPDO!$H$10</definedName>
    <definedName name="CPDO_PLATILLA_ITEMS" localSheetId="22">[1]CPDO!$H$10</definedName>
    <definedName name="CPDO_PLATILLA_ITEMS" localSheetId="29">[1]CPDO!$H$10</definedName>
    <definedName name="CPDO_PLATILLA_ITEMS" localSheetId="35">[1]CPDO!$H$10</definedName>
    <definedName name="CPDO_PLATILLA_ITEMS" localSheetId="38">[1]CPDO!$H$10</definedName>
    <definedName name="CPDO_PLATILLA_ITEMS" localSheetId="9">'1041-CPDO'!$H$10</definedName>
    <definedName name="CPDO_PLATILLA_ITEMS" localSheetId="10">[2]CPDO!$H$10</definedName>
    <definedName name="CPDO_PLATILLA_ITEMS" localSheetId="8">[2]CPDO!$H$10</definedName>
    <definedName name="CPDO_PLATILLA_ITEMS">'1041-CPDO'!$H$10</definedName>
    <definedName name="CPDO_PS" localSheetId="17">[1]CPDO!$G$32</definedName>
    <definedName name="CPDO_PS" localSheetId="22">[1]CPDO!$G$32</definedName>
    <definedName name="CPDO_PS" localSheetId="29">[1]CPDO!$G$32</definedName>
    <definedName name="CPDO_PS" localSheetId="35">[1]CPDO!$G$32</definedName>
    <definedName name="CPDO_PS" localSheetId="38">[1]CPDO!$G$32</definedName>
    <definedName name="CPDO_PS" localSheetId="9">'1041-CPDO'!$G$34</definedName>
    <definedName name="CPDO_PS" localSheetId="10">[2]CPDO!$G$32</definedName>
    <definedName name="CPDO_PS" localSheetId="8">[2]CPDO!$G$32</definedName>
    <definedName name="CPDO_PS">'1041-CPDO'!$G$34</definedName>
    <definedName name="CPIO_CO" localSheetId="17">[1]CPIO!$G$51</definedName>
    <definedName name="CPIO_CO" localSheetId="22">[1]CPIO!$G$51</definedName>
    <definedName name="CPIO_CO" localSheetId="29">[1]CPIO!$G$51</definedName>
    <definedName name="CPIO_CO" localSheetId="35">[1]CPIO!$G$51</definedName>
    <definedName name="CPIO_CO" localSheetId="38">[1]CPIO!$G$51</definedName>
    <definedName name="CPIO_CO" localSheetId="9">'1121-CPIO'!$G$44</definedName>
    <definedName name="CPIO_CO" localSheetId="10">[2]CPIO!$G$51</definedName>
    <definedName name="CPIO_CO" localSheetId="8">[2]CPIO!$G$51</definedName>
    <definedName name="CPIO_CO">'1121-CPIO'!$G$44</definedName>
    <definedName name="CPIO_MOOE" localSheetId="17">[1]CPIO!$G$47</definedName>
    <definedName name="CPIO_MOOE" localSheetId="22">[1]CPIO!$G$47</definedName>
    <definedName name="CPIO_MOOE" localSheetId="29">[1]CPIO!$G$47</definedName>
    <definedName name="CPIO_MOOE" localSheetId="35">[1]CPIO!$G$47</definedName>
    <definedName name="CPIO_MOOE" localSheetId="38">[1]CPIO!$G$47</definedName>
    <definedName name="CPIO_MOOE" localSheetId="9">'1121-CPIO'!$G$42</definedName>
    <definedName name="CPIO_MOOE" localSheetId="10">[2]CPIO!$G$47</definedName>
    <definedName name="CPIO_MOOE" localSheetId="8">[2]CPIO!$G$47</definedName>
    <definedName name="CPIO_MOOE">'1121-CPIO'!$G$42</definedName>
    <definedName name="CPIO_PLATILLA_ITEMS" localSheetId="17">[1]CPIO!$H$10</definedName>
    <definedName name="CPIO_PLATILLA_ITEMS" localSheetId="22">[1]CPIO!$H$10</definedName>
    <definedName name="CPIO_PLATILLA_ITEMS" localSheetId="29">[1]CPIO!$H$10</definedName>
    <definedName name="CPIO_PLATILLA_ITEMS" localSheetId="35">[1]CPIO!$H$10</definedName>
    <definedName name="CPIO_PLATILLA_ITEMS" localSheetId="38">[1]CPIO!$H$10</definedName>
    <definedName name="CPIO_PLATILLA_ITEMS" localSheetId="9">'1121-CPIO'!$H$10</definedName>
    <definedName name="CPIO_PLATILLA_ITEMS" localSheetId="10">[2]CPIO!$H$10</definedName>
    <definedName name="CPIO_PLATILLA_ITEMS" localSheetId="8">[2]CPIO!$H$10</definedName>
    <definedName name="CPIO_PLATILLA_ITEMS">'1121-CPIO'!$H$10</definedName>
    <definedName name="CPIO_PS" localSheetId="17">[1]CPIO!$G$30</definedName>
    <definedName name="CPIO_PS" localSheetId="22">[1]CPIO!$G$30</definedName>
    <definedName name="CPIO_PS" localSheetId="29">[1]CPIO!$G$30</definedName>
    <definedName name="CPIO_PS" localSheetId="35">[1]CPIO!$G$30</definedName>
    <definedName name="CPIO_PS" localSheetId="38">[1]CPIO!$G$30</definedName>
    <definedName name="CPIO_PS" localSheetId="9">'1121-CPIO'!$G$32</definedName>
    <definedName name="CPIO_PS" localSheetId="10">[2]CPIO!$G$30</definedName>
    <definedName name="CPIO_PS" localSheetId="8">[2]CPIO!$G$30</definedName>
    <definedName name="CPIO_PS">'1121-CPIO'!$G$32</definedName>
    <definedName name="CSU_CO" localSheetId="17">[1]CSU!$G$50</definedName>
    <definedName name="CSU_CO" localSheetId="22">[1]CSU!$G$50</definedName>
    <definedName name="CSU_CO" localSheetId="29">[1]CSU!$G$50</definedName>
    <definedName name="CSU_CO" localSheetId="35">[1]CSU!$G$50</definedName>
    <definedName name="CSU_CO" localSheetId="38">[1]CSU!$G$50</definedName>
    <definedName name="CSU_CO" localSheetId="9">'1013-CSU'!$G$44</definedName>
    <definedName name="CSU_CO" localSheetId="10">[2]CSU!$G$50</definedName>
    <definedName name="CSU_CO" localSheetId="8">[2]CSU!$G$50</definedName>
    <definedName name="CSU_CO">'1013-CSU'!$G$44</definedName>
    <definedName name="CSU_MOOE" localSheetId="17">[1]CSU!$G$48</definedName>
    <definedName name="CSU_MOOE" localSheetId="22">[1]CSU!$G$48</definedName>
    <definedName name="CSU_MOOE" localSheetId="29">[1]CSU!$G$48</definedName>
    <definedName name="CSU_MOOE" localSheetId="35">[1]CSU!$G$48</definedName>
    <definedName name="CSU_MOOE" localSheetId="38">[1]CSU!$G$48</definedName>
    <definedName name="CSU_MOOE" localSheetId="9">'1013-CSU'!$G$42</definedName>
    <definedName name="CSU_MOOE" localSheetId="10">[2]CSU!$G$48</definedName>
    <definedName name="CSU_MOOE" localSheetId="8">[2]CSU!$G$48</definedName>
    <definedName name="CSU_MOOE">'1013-CSU'!$G$42</definedName>
    <definedName name="CSU_PLATILLA_ITEMS" localSheetId="17">[1]CSU!$H$10</definedName>
    <definedName name="CSU_PLATILLA_ITEMS" localSheetId="22">[1]CSU!$H$10</definedName>
    <definedName name="CSU_PLATILLA_ITEMS" localSheetId="29">[1]CSU!$H$10</definedName>
    <definedName name="CSU_PLATILLA_ITEMS" localSheetId="35">[1]CSU!$H$10</definedName>
    <definedName name="CSU_PLATILLA_ITEMS" localSheetId="38">[1]CSU!$H$10</definedName>
    <definedName name="CSU_PLATILLA_ITEMS" localSheetId="9">'1013-CSU'!$H$10</definedName>
    <definedName name="CSU_PLATILLA_ITEMS" localSheetId="10">[2]CSU!$H$10</definedName>
    <definedName name="CSU_PLATILLA_ITEMS" localSheetId="8">[2]CSU!$H$10</definedName>
    <definedName name="CSU_PLATILLA_ITEMS">'1013-CSU'!$H$10</definedName>
    <definedName name="CSU_PS" localSheetId="17">[1]CSU!$G$31</definedName>
    <definedName name="CSU_PS" localSheetId="22">[1]CSU!$G$31</definedName>
    <definedName name="CSU_PS" localSheetId="29">[1]CSU!$G$31</definedName>
    <definedName name="CSU_PS" localSheetId="35">[1]CSU!$G$31</definedName>
    <definedName name="CSU_PS" localSheetId="38">[1]CSU!$G$31</definedName>
    <definedName name="CSU_PS" localSheetId="9">'1013-CSU'!$G$32</definedName>
    <definedName name="CSU_PS" localSheetId="10">[2]CSU!$G$31</definedName>
    <definedName name="CSU_PS" localSheetId="8">[2]CSU!$G$31</definedName>
    <definedName name="CSU_PS">'1013-CSU'!$G$32</definedName>
    <definedName name="CSWDO_CO" localSheetId="17">[1]CSWDO!$G$87</definedName>
    <definedName name="CSWDO_CO" localSheetId="22">[1]CSWDO!$G$87</definedName>
    <definedName name="CSWDO_CO" localSheetId="29">[1]CSWDO!$G$87</definedName>
    <definedName name="CSWDO_CO" localSheetId="35">[1]CSWDO!$G$87</definedName>
    <definedName name="CSWDO_CO" localSheetId="38">[1]CSWDO!$G$87</definedName>
    <definedName name="CSWDO_CO" localSheetId="9">'7611-CSWDO'!$G$89</definedName>
    <definedName name="CSWDO_CO" localSheetId="10">[2]CSWDO!$G$89</definedName>
    <definedName name="CSWDO_CO" localSheetId="8">[2]CSWDO!$G$89</definedName>
    <definedName name="CSWDO_CO">'7611-CSWDO'!$G$89</definedName>
    <definedName name="CSWDO_MOOE" localSheetId="17">[1]CSWDO!$G$82</definedName>
    <definedName name="CSWDO_MOOE" localSheetId="22">[1]CSWDO!$G$82</definedName>
    <definedName name="CSWDO_MOOE" localSheetId="29">[1]CSWDO!$G$82</definedName>
    <definedName name="CSWDO_MOOE" localSheetId="35">[1]CSWDO!$G$82</definedName>
    <definedName name="CSWDO_MOOE" localSheetId="38">[1]CSWDO!$G$82</definedName>
    <definedName name="CSWDO_MOOE" localSheetId="9">'7611-CSWDO'!$G$87</definedName>
    <definedName name="CSWDO_MOOE" localSheetId="10">[2]CSWDO!$G$84</definedName>
    <definedName name="CSWDO_MOOE" localSheetId="8">[2]CSWDO!$G$84</definedName>
    <definedName name="CSWDO_MOOE">'7611-CSWDO'!$G$87</definedName>
    <definedName name="CSWDO_PLATILLA_ITEMS" localSheetId="17">[1]CSWDO!$H$10</definedName>
    <definedName name="CSWDO_PLATILLA_ITEMS" localSheetId="22">[1]CSWDO!$H$10</definedName>
    <definedName name="CSWDO_PLATILLA_ITEMS" localSheetId="29">[1]CSWDO!$H$10</definedName>
    <definedName name="CSWDO_PLATILLA_ITEMS" localSheetId="35">[1]CSWDO!$H$10</definedName>
    <definedName name="CSWDO_PLATILLA_ITEMS" localSheetId="38">[1]CSWDO!$H$10</definedName>
    <definedName name="CSWDO_PLATILLA_ITEMS" localSheetId="9">'7611-CSWDO'!$H$10</definedName>
    <definedName name="CSWDO_PLATILLA_ITEMS" localSheetId="10">[2]CSWDO!$H$10</definedName>
    <definedName name="CSWDO_PLATILLA_ITEMS" localSheetId="8">[2]CSWDO!$H$10</definedName>
    <definedName name="CSWDO_PLATILLA_ITEMS">'7611-CSWDO'!$H$10</definedName>
    <definedName name="CSWDO_PS" localSheetId="17">[1]CSWDO!$G$35</definedName>
    <definedName name="CSWDO_PS" localSheetId="22">[1]CSWDO!$G$35</definedName>
    <definedName name="CSWDO_PS" localSheetId="29">[1]CSWDO!$G$35</definedName>
    <definedName name="CSWDO_PS" localSheetId="35">[1]CSWDO!$G$35</definedName>
    <definedName name="CSWDO_PS" localSheetId="38">[1]CSWDO!$G$35</definedName>
    <definedName name="CSWDO_PS" localSheetId="9">'7611-CSWDO'!$G$37</definedName>
    <definedName name="CSWDO_PS" localSheetId="10">[2]CSWDO!$G$35</definedName>
    <definedName name="CSWDO_PS" localSheetId="8">[2]CSWDO!$G$35</definedName>
    <definedName name="CSWDO_PS">'7611-CSWDO'!$G$37</definedName>
    <definedName name="CTFRO_CO" localSheetId="10">'[3]CTFRO-CTFRO'!$G$39</definedName>
    <definedName name="CTFRO_CO">'CTFRO-CTFRO'!$G$41</definedName>
    <definedName name="CTFRO_MOOE" localSheetId="10">'[3]CTFRO-CTFRO'!$G$37</definedName>
    <definedName name="CTFRO_MOOE">'CTFRO-CTFRO'!$G$39</definedName>
    <definedName name="CTFRO_PLATILLA_ITEMS" localSheetId="17">[1]CTFRO!$H$10</definedName>
    <definedName name="CTFRO_PLATILLA_ITEMS" localSheetId="22">[1]CTFRO!$H$10</definedName>
    <definedName name="CTFRO_PLATILLA_ITEMS" localSheetId="29">[1]CTFRO!$H$10</definedName>
    <definedName name="CTFRO_PLATILLA_ITEMS" localSheetId="35">[1]CTFRO!$H$10</definedName>
    <definedName name="CTFRO_PLATILLA_ITEMS" localSheetId="38">[1]CTFRO!$H$10</definedName>
    <definedName name="CTFRO_PLATILLA_ITEMS" localSheetId="9">'CTFRO-CTFRO'!$H$10</definedName>
    <definedName name="CTFRO_PLATILLA_ITEMS" localSheetId="10">[2]CTFRO!$H$10</definedName>
    <definedName name="CTFRO_PLATILLA_ITEMS" localSheetId="8">[2]CTFRO!$H$10</definedName>
    <definedName name="CTFRO_PLATILLA_ITEMS">'CTFRO-CTFRO'!$H$10</definedName>
    <definedName name="CTFRO_PS" localSheetId="17">[1]CTFRO!$G$31</definedName>
    <definedName name="CTFRO_PS" localSheetId="22">[1]CTFRO!$G$31</definedName>
    <definedName name="CTFRO_PS" localSheetId="29">[1]CTFRO!$G$31</definedName>
    <definedName name="CTFRO_PS" localSheetId="35">[1]CTFRO!$G$31</definedName>
    <definedName name="CTFRO_PS" localSheetId="38">[1]CTFRO!$G$31</definedName>
    <definedName name="CTFRO_PS" localSheetId="9">'CTFRO-CTFRO'!$G$30</definedName>
    <definedName name="CTFRO_PS" localSheetId="10">[2]CTFRO!$G$31</definedName>
    <definedName name="CTFRO_PS" localSheetId="8">[2]CTFRO!$G$31</definedName>
    <definedName name="CTFRO_PS">'CTFRO-CTFRO'!$G$30</definedName>
    <definedName name="CTO_CO" localSheetId="17">[1]CTO!$G$74</definedName>
    <definedName name="CTO_CO" localSheetId="22">[1]CTO!$G$74</definedName>
    <definedName name="CTO_CO" localSheetId="29">[1]CTO!$G$74</definedName>
    <definedName name="CTO_CO" localSheetId="35">[1]CTO!$G$74</definedName>
    <definedName name="CTO_CO" localSheetId="38">[1]CTO!$G$74</definedName>
    <definedName name="CTO_CO" localSheetId="9">'1091-CTO'!$G$60</definedName>
    <definedName name="CTO_CO" localSheetId="10">[2]CTO!$G$74</definedName>
    <definedName name="CTO_CO" localSheetId="8">[2]CTO!$G$74</definedName>
    <definedName name="CTO_CO">'1091-CTO'!$G$60</definedName>
    <definedName name="CTO_FE" localSheetId="17">[1]CTO!$G$65</definedName>
    <definedName name="CTO_FE" localSheetId="22">[1]CTO!$G$65</definedName>
    <definedName name="CTO_FE" localSheetId="29">[1]CTO!$G$65</definedName>
    <definedName name="CTO_FE" localSheetId="35">[1]CTO!$G$65</definedName>
    <definedName name="CTO_FE" localSheetId="38">[1]CTO!$G$65</definedName>
    <definedName name="CTO_FE" localSheetId="9">'1091-CTO'!$G$58</definedName>
    <definedName name="CTO_FE" localSheetId="10">[2]CTO!$G$65</definedName>
    <definedName name="CTO_FE" localSheetId="8">[2]CTO!$G$65</definedName>
    <definedName name="CTO_FE">'1091-CTO'!$G$58</definedName>
    <definedName name="CTO_MOOE" localSheetId="17">[1]CTO!$G$60</definedName>
    <definedName name="CTO_MOOE" localSheetId="22">[1]CTO!$G$60</definedName>
    <definedName name="CTO_MOOE" localSheetId="29">[1]CTO!$G$60</definedName>
    <definedName name="CTO_MOOE" localSheetId="35">[1]CTO!$G$60</definedName>
    <definedName name="CTO_MOOE" localSheetId="38">[1]CTO!$G$60</definedName>
    <definedName name="CTO_MOOE" localSheetId="9">'1091-CTO'!$G$54</definedName>
    <definedName name="CTO_MOOE" localSheetId="10">[2]CTO!$G$60</definedName>
    <definedName name="CTO_MOOE" localSheetId="8">[2]CTO!$G$60</definedName>
    <definedName name="CTO_MOOE">'1091-CTO'!$G$54</definedName>
    <definedName name="CTO_PLATILLA_ITEMS" localSheetId="17">[1]CTO!$H$10</definedName>
    <definedName name="CTO_PLATILLA_ITEMS" localSheetId="22">[1]CTO!$H$10</definedName>
    <definedName name="CTO_PLATILLA_ITEMS" localSheetId="29">[1]CTO!$H$10</definedName>
    <definedName name="CTO_PLATILLA_ITEMS" localSheetId="35">[1]CTO!$H$10</definedName>
    <definedName name="CTO_PLATILLA_ITEMS" localSheetId="38">[1]CTO!$H$10</definedName>
    <definedName name="CTO_PLATILLA_ITEMS" localSheetId="9">'1091-CTO'!$H$10</definedName>
    <definedName name="CTO_PLATILLA_ITEMS" localSheetId="10">[2]CTO!$H$10</definedName>
    <definedName name="CTO_PLATILLA_ITEMS" localSheetId="8">[2]CTO!$H$10</definedName>
    <definedName name="CTO_PLATILLA_ITEMS">'1091-CTO'!$H$10</definedName>
    <definedName name="CTO_PS" localSheetId="17">[1]CTO!$G$35</definedName>
    <definedName name="CTO_PS" localSheetId="22">[1]CTO!$G$35</definedName>
    <definedName name="CTO_PS" localSheetId="29">[1]CTO!$G$35</definedName>
    <definedName name="CTO_PS" localSheetId="35">[1]CTO!$G$35</definedName>
    <definedName name="CTO_PS" localSheetId="38">[1]CTO!$G$35</definedName>
    <definedName name="CTO_PS" localSheetId="9">'1091-CTO'!$G$36</definedName>
    <definedName name="CTO_PS" localSheetId="10">[2]CTO!$G$35</definedName>
    <definedName name="CTO_PS" localSheetId="8">[2]CTO!$G$35</definedName>
    <definedName name="CTO_PS">'1091-CTO'!$G$36</definedName>
    <definedName name="CVMO_CO" localSheetId="17">[1]CVMO!$G$67</definedName>
    <definedName name="CVMO_CO" localSheetId="22">[1]CVMO!$G$67</definedName>
    <definedName name="CVMO_CO" localSheetId="29">[1]CVMO!$G$67</definedName>
    <definedName name="CVMO_CO" localSheetId="35">[1]CVMO!$G$67</definedName>
    <definedName name="CVMO_CO" localSheetId="38">[1]CVMO!$G$67</definedName>
    <definedName name="CVMO_CO" localSheetId="9">'1016-CVMO'!$G$73</definedName>
    <definedName name="CVMO_CO" localSheetId="10">[2]CVMO!$G$68</definedName>
    <definedName name="CVMO_CO" localSheetId="8">[2]CVMO!$G$68</definedName>
    <definedName name="CVMO_CO">'1016-CVMO'!$G$73</definedName>
    <definedName name="CVMO_MOOE" localSheetId="17">[1]CVMO!$G$58</definedName>
    <definedName name="CVMO_MOOE" localSheetId="22">[1]CVMO!$G$58</definedName>
    <definedName name="CVMO_MOOE" localSheetId="29">[1]CVMO!$G$58</definedName>
    <definedName name="CVMO_MOOE" localSheetId="35">[1]CVMO!$G$58</definedName>
    <definedName name="CVMO_MOOE" localSheetId="38">[1]CVMO!$G$58</definedName>
    <definedName name="CVMO_MOOE" localSheetId="9">'1016-CVMO'!$G$60</definedName>
    <definedName name="CVMO_MOOE" localSheetId="10">[2]CVMO!$G$59</definedName>
    <definedName name="CVMO_MOOE" localSheetId="8">[2]CVMO!$G$59</definedName>
    <definedName name="CVMO_MOOE">'1016-CVMO'!$G$60</definedName>
    <definedName name="CVMO_PLATILLA_ITEMS" localSheetId="17">[1]CVMO!$H$10</definedName>
    <definedName name="CVMO_PLATILLA_ITEMS" localSheetId="22">[1]CVMO!$H$10</definedName>
    <definedName name="CVMO_PLATILLA_ITEMS" localSheetId="29">[1]CVMO!$H$10</definedName>
    <definedName name="CVMO_PLATILLA_ITEMS" localSheetId="35">[1]CVMO!$H$10</definedName>
    <definedName name="CVMO_PLATILLA_ITEMS" localSheetId="38">[1]CVMO!$H$10</definedName>
    <definedName name="CVMO_PLATILLA_ITEMS" localSheetId="9">'1016-CVMO'!$H$10</definedName>
    <definedName name="CVMO_PLATILLA_ITEMS" localSheetId="10">[2]CVMO!$H$10</definedName>
    <definedName name="CVMO_PLATILLA_ITEMS" localSheetId="8">[2]CVMO!$H$10</definedName>
    <definedName name="CVMO_PLATILLA_ITEMS">'1016-CVMO'!$H$10</definedName>
    <definedName name="CVMO_PS" localSheetId="17">[1]CVMO!$G$34</definedName>
    <definedName name="CVMO_PS" localSheetId="22">[1]CVMO!$G$34</definedName>
    <definedName name="CVMO_PS" localSheetId="29">[1]CVMO!$G$34</definedName>
    <definedName name="CVMO_PS" localSheetId="35">[1]CVMO!$G$34</definedName>
    <definedName name="CVMO_PS" localSheetId="38">[1]CVMO!$G$34</definedName>
    <definedName name="CVMO_PS" localSheetId="9">'1016-CVMO'!$G$36</definedName>
    <definedName name="CVMO_PS" localSheetId="10">[2]CVMO!$G$35</definedName>
    <definedName name="CVMO_PS" localSheetId="8">[2]CVMO!$G$35</definedName>
    <definedName name="CVMO_PS">'1016-CVMO'!$G$36</definedName>
    <definedName name="ENGINEER_CO" localSheetId="17">[1]ENGINEER!$G$65</definedName>
    <definedName name="ENGINEER_CO" localSheetId="22">[1]ENGINEER!$G$65</definedName>
    <definedName name="ENGINEER_CO" localSheetId="29">[1]ENGINEER!$G$65</definedName>
    <definedName name="ENGINEER_CO" localSheetId="35">[1]ENGINEER!$G$65</definedName>
    <definedName name="ENGINEER_CO" localSheetId="38">[1]ENGINEER!$G$65</definedName>
    <definedName name="ENGINEER_CO" localSheetId="9">'8751-CEO'!$G$61</definedName>
    <definedName name="ENGINEER_CO" localSheetId="10">[2]ENGINEER!$G$67</definedName>
    <definedName name="ENGINEER_CO" localSheetId="8">[2]ENGINEER!$G$67</definedName>
    <definedName name="ENGINEER_CO">'8751-CEO'!$G$61</definedName>
    <definedName name="ENGINEER_MOOE" localSheetId="17">[1]ENGINEER!$G$58</definedName>
    <definedName name="ENGINEER_MOOE" localSheetId="22">[1]ENGINEER!$G$58</definedName>
    <definedName name="ENGINEER_MOOE" localSheetId="29">[1]ENGINEER!$G$58</definedName>
    <definedName name="ENGINEER_MOOE" localSheetId="35">[1]ENGINEER!$G$58</definedName>
    <definedName name="ENGINEER_MOOE" localSheetId="38">[1]ENGINEER!$G$58</definedName>
    <definedName name="ENGINEER_MOOE" localSheetId="9">'8751-CEO'!$G$55</definedName>
    <definedName name="ENGINEER_MOOE" localSheetId="10">[2]ENGINEER!$G$58</definedName>
    <definedName name="ENGINEER_MOOE" localSheetId="8">[2]ENGINEER!$G$58</definedName>
    <definedName name="ENGINEER_MOOE">'8751-CEO'!$G$55</definedName>
    <definedName name="ENGINEER_PLATILLA_ITEMS" localSheetId="17">[1]ENGINEER!$H$10</definedName>
    <definedName name="ENGINEER_PLATILLA_ITEMS" localSheetId="22">[1]ENGINEER!$H$10</definedName>
    <definedName name="ENGINEER_PLATILLA_ITEMS" localSheetId="29">[1]ENGINEER!$H$10</definedName>
    <definedName name="ENGINEER_PLATILLA_ITEMS" localSheetId="35">[1]ENGINEER!$H$10</definedName>
    <definedName name="ENGINEER_PLATILLA_ITEMS" localSheetId="38">[1]ENGINEER!$H$10</definedName>
    <definedName name="ENGINEER_PLATILLA_ITEMS" localSheetId="9">'8751-CEO'!$H$10</definedName>
    <definedName name="ENGINEER_PLATILLA_ITEMS" localSheetId="10">[2]ENGINEER!$H$10</definedName>
    <definedName name="ENGINEER_PLATILLA_ITEMS" localSheetId="8">[2]ENGINEER!$H$10</definedName>
    <definedName name="ENGINEER_PLATILLA_ITEMS">'8751-CEO'!$H$10</definedName>
    <definedName name="ENGINEER_PS" localSheetId="17">[1]ENGINEER!$G$33</definedName>
    <definedName name="ENGINEER_PS" localSheetId="22">[1]ENGINEER!$G$33</definedName>
    <definedName name="ENGINEER_PS" localSheetId="29">[1]ENGINEER!$G$33</definedName>
    <definedName name="ENGINEER_PS" localSheetId="35">[1]ENGINEER!$G$33</definedName>
    <definedName name="ENGINEER_PS" localSheetId="38">[1]ENGINEER!$G$33</definedName>
    <definedName name="ENGINEER_PS" localSheetId="9">'8751-CEO'!$G$35</definedName>
    <definedName name="ENGINEER_PS" localSheetId="10">[2]ENGINEER!$G$33</definedName>
    <definedName name="ENGINEER_PS" localSheetId="8">[2]ENGINEER!$G$33</definedName>
    <definedName name="ENGINEER_PS">'8751-CEO'!$G$35</definedName>
    <definedName name="IAS_CO" localSheetId="17">[1]IAS!$G$37</definedName>
    <definedName name="IAS_CO" localSheetId="22">[1]IAS!$G$37</definedName>
    <definedName name="IAS_CO" localSheetId="29">[1]IAS!$G$37</definedName>
    <definedName name="IAS_CO" localSheetId="35">[1]IAS!$G$37</definedName>
    <definedName name="IAS_CO" localSheetId="38">[1]IAS!$G$37</definedName>
    <definedName name="IAS_CO" localSheetId="9">'IAS-IAS'!$G$35</definedName>
    <definedName name="IAS_CO" localSheetId="39">'CTFRO-CTFRO'!$G$41</definedName>
    <definedName name="IAS_CO" localSheetId="10">[2]IAS!$G$37</definedName>
    <definedName name="IAS_CO" localSheetId="8">[2]IAS!$G$37</definedName>
    <definedName name="IAS_CO">'IAS-IAS'!$G$35</definedName>
    <definedName name="IAS_MOOE" localSheetId="17">[1]IAS!$G$35</definedName>
    <definedName name="IAS_MOOE" localSheetId="22">[1]IAS!$G$35</definedName>
    <definedName name="IAS_MOOE" localSheetId="29">[1]IAS!$G$35</definedName>
    <definedName name="IAS_MOOE" localSheetId="35">[1]IAS!$G$35</definedName>
    <definedName name="IAS_MOOE" localSheetId="38">[1]IAS!$G$35</definedName>
    <definedName name="IAS_MOOE" localSheetId="9">'IAS-IAS'!$G$33</definedName>
    <definedName name="IAS_MOOE" localSheetId="39">'CTFRO-CTFRO'!$G$39</definedName>
    <definedName name="IAS_MOOE" localSheetId="10">[2]IAS!$G$35</definedName>
    <definedName name="IAS_MOOE" localSheetId="8">[2]IAS!$G$35</definedName>
    <definedName name="IAS_MOOE">'IAS-IAS'!$G$33</definedName>
    <definedName name="IAS_PLATILLA_ITEMS" localSheetId="17">[1]IAS!$H$10</definedName>
    <definedName name="IAS_PLATILLA_ITEMS" localSheetId="22">[1]IAS!$H$10</definedName>
    <definedName name="IAS_PLATILLA_ITEMS" localSheetId="29">[1]IAS!$H$10</definedName>
    <definedName name="IAS_PLATILLA_ITEMS" localSheetId="35">[1]IAS!$H$10</definedName>
    <definedName name="IAS_PLATILLA_ITEMS" localSheetId="38">[1]IAS!$H$10</definedName>
    <definedName name="IAS_PLATILLA_ITEMS" localSheetId="9">'IAS-IAS'!$H$10</definedName>
    <definedName name="IAS_PLATILLA_ITEMS" localSheetId="10">[2]IAS!$H$10</definedName>
    <definedName name="IAS_PLATILLA_ITEMS" localSheetId="8">[2]IAS!$H$10</definedName>
    <definedName name="IAS_PLATILLA_ITEMS">'IAS-IAS'!$H$10</definedName>
    <definedName name="IAS_PS" localSheetId="17">[1]IAS!$G$31</definedName>
    <definedName name="IAS_PS" localSheetId="22">[1]IAS!$G$31</definedName>
    <definedName name="IAS_PS" localSheetId="29">[1]IAS!$G$31</definedName>
    <definedName name="IAS_PS" localSheetId="35">[1]IAS!$G$31</definedName>
    <definedName name="IAS_PS" localSheetId="38">[1]IAS!$G$31</definedName>
    <definedName name="IAS_PS" localSheetId="9">'IAS-IAS'!$G$31</definedName>
    <definedName name="IAS_PS" localSheetId="39">'CTFRO-CTFRO'!$G$30</definedName>
    <definedName name="IAS_PS" localSheetId="10">[2]IAS!$G$31</definedName>
    <definedName name="IAS_PS" localSheetId="8">[2]IAS!$G$31</definedName>
    <definedName name="IAS_PS">'IAS-IAS'!$G$31</definedName>
    <definedName name="IT_CO" localSheetId="10">'[3]OCIT-OCIT'!$G$45</definedName>
    <definedName name="IT_CO">'OCIT-OCIT'!$G$45</definedName>
    <definedName name="IT_MOOE" localSheetId="10">'[3]OCIT-OCIT'!$G$43</definedName>
    <definedName name="IT_MOOE">'OCIT-OCIT'!$G$43</definedName>
    <definedName name="IT_PLANTILLA_ITEMS" localSheetId="10">'[3]OCIT-OCIT'!$H$10</definedName>
    <definedName name="IT_PLANTILLA_ITEMS">'OCIT-OCIT'!$H$10</definedName>
    <definedName name="IT_PS" localSheetId="10">'[3]OCIT-OCIT'!$G$34</definedName>
    <definedName name="IT_PS">'OCIT-OCIT'!$G$34</definedName>
    <definedName name="LEGAL_CO" localSheetId="17">[1]LEGAL!$G$65</definedName>
    <definedName name="LEGAL_CO" localSheetId="22">[1]LEGAL!$G$65</definedName>
    <definedName name="LEGAL_CO" localSheetId="29">[1]LEGAL!$G$65</definedName>
    <definedName name="LEGAL_CO" localSheetId="35">[1]LEGAL!$G$65</definedName>
    <definedName name="LEGAL_CO" localSheetId="38">[1]LEGAL!$G$65</definedName>
    <definedName name="LEGAL_CO" localSheetId="9">'1131-LEGAL'!$G$49</definedName>
    <definedName name="LEGAL_CO" localSheetId="10">[2]LEGAL!$G$67</definedName>
    <definedName name="LEGAL_CO" localSheetId="8">[2]LEGAL!$G$67</definedName>
    <definedName name="LEGAL_CO">'1131-LEGAL'!$G$49</definedName>
    <definedName name="LEGAL_MOOE" localSheetId="17">[1]LEGAL!$G$55</definedName>
    <definedName name="LEGAL_MOOE" localSheetId="22">[1]LEGAL!$G$55</definedName>
    <definedName name="LEGAL_MOOE" localSheetId="29">[1]LEGAL!$G$55</definedName>
    <definedName name="LEGAL_MOOE" localSheetId="35">[1]LEGAL!$G$55</definedName>
    <definedName name="LEGAL_MOOE" localSheetId="38">[1]LEGAL!$G$55</definedName>
    <definedName name="LEGAL_MOOE" localSheetId="9">'1131-LEGAL'!$G$47</definedName>
    <definedName name="LEGAL_MOOE" localSheetId="10">[2]LEGAL!$G$57</definedName>
    <definedName name="LEGAL_MOOE" localSheetId="8">[2]LEGAL!$G$57</definedName>
    <definedName name="LEGAL_MOOE">'1131-LEGAL'!$G$47</definedName>
    <definedName name="LEGAL_PLATILLA_ITEMS" localSheetId="17">[1]LEGAL!$H$10</definedName>
    <definedName name="LEGAL_PLATILLA_ITEMS" localSheetId="22">[1]LEGAL!$H$10</definedName>
    <definedName name="LEGAL_PLATILLA_ITEMS" localSheetId="29">[1]LEGAL!$H$10</definedName>
    <definedName name="LEGAL_PLATILLA_ITEMS" localSheetId="35">[1]LEGAL!$H$10</definedName>
    <definedName name="LEGAL_PLATILLA_ITEMS" localSheetId="38">[1]LEGAL!$H$10</definedName>
    <definedName name="LEGAL_PLATILLA_ITEMS" localSheetId="9">'1131-LEGAL'!$H$10</definedName>
    <definedName name="LEGAL_PLATILLA_ITEMS" localSheetId="10">[2]LEGAL!$H$10</definedName>
    <definedName name="LEGAL_PLATILLA_ITEMS" localSheetId="8">[2]LEGAL!$H$10</definedName>
    <definedName name="LEGAL_PLATILLA_ITEMS">'1131-LEGAL'!$H$10</definedName>
    <definedName name="LEGAL_PS" localSheetId="17">[1]LEGAL!$G$33</definedName>
    <definedName name="LEGAL_PS" localSheetId="22">[1]LEGAL!$G$33</definedName>
    <definedName name="LEGAL_PS" localSheetId="29">[1]LEGAL!$G$33</definedName>
    <definedName name="LEGAL_PS" localSheetId="35">[1]LEGAL!$G$33</definedName>
    <definedName name="LEGAL_PS" localSheetId="38">[1]LEGAL!$G$33</definedName>
    <definedName name="LEGAL_PS" localSheetId="9">'1131-LEGAL'!$G$34</definedName>
    <definedName name="LEGAL_PS" localSheetId="10">[2]LEGAL!$G$33</definedName>
    <definedName name="LEGAL_PS" localSheetId="8">[2]LEGAL!$G$33</definedName>
    <definedName name="LEGAL_PS">'1131-LEGAL'!$G$34</definedName>
    <definedName name="MARKET_CO" localSheetId="17">[1]MARKET!$G$63</definedName>
    <definedName name="MARKET_CO" localSheetId="22">[1]MARKET!$G$63</definedName>
    <definedName name="MARKET_CO" localSheetId="29">[1]MARKET!$G$63</definedName>
    <definedName name="MARKET_CO" localSheetId="35">'8811-MARKET'!$G$45</definedName>
    <definedName name="MARKET_CO" localSheetId="38">[1]MARKET!$G$63</definedName>
    <definedName name="MARKET_CO" localSheetId="9">#REF!</definedName>
    <definedName name="MARKET_CO" localSheetId="10">#REF!</definedName>
    <definedName name="MARKET_CO" localSheetId="8">#REF!</definedName>
    <definedName name="MARKET_CO" localSheetId="5">#REF!</definedName>
    <definedName name="MARKET_CO">#REF!</definedName>
    <definedName name="MARKET_MOOE" localSheetId="17">[1]MARKET!$G$48</definedName>
    <definedName name="MARKET_MOOE" localSheetId="22">[1]MARKET!$G$48</definedName>
    <definedName name="MARKET_MOOE" localSheetId="29">[1]MARKET!$G$48</definedName>
    <definedName name="MARKET_MOOE" localSheetId="35">'8811-MARKET'!$G$43</definedName>
    <definedName name="MARKET_MOOE" localSheetId="38">[1]MARKET!$G$48</definedName>
    <definedName name="MARKET_MOOE" localSheetId="9">#REF!</definedName>
    <definedName name="MARKET_MOOE" localSheetId="10">#REF!</definedName>
    <definedName name="MARKET_MOOE" localSheetId="8">#REF!</definedName>
    <definedName name="MARKET_MOOE" localSheetId="5">#REF!</definedName>
    <definedName name="MARKET_MOOE">#REF!</definedName>
    <definedName name="MARKET_PLATILLA_ITEMS" localSheetId="17">[1]MARKET!$H$10</definedName>
    <definedName name="MARKET_PLATILLA_ITEMS" localSheetId="22">[1]MARKET!$H$10</definedName>
    <definedName name="MARKET_PLATILLA_ITEMS" localSheetId="29">[1]MARKET!$H$10</definedName>
    <definedName name="MARKET_PLATILLA_ITEMS" localSheetId="35">'8811-MARKET'!$H$10</definedName>
    <definedName name="MARKET_PLATILLA_ITEMS" localSheetId="38">[1]MARKET!$H$10</definedName>
    <definedName name="MARKET_PLATILLA_ITEMS" localSheetId="9">#REF!</definedName>
    <definedName name="MARKET_PLATILLA_ITEMS" localSheetId="10">#REF!</definedName>
    <definedName name="MARKET_PLATILLA_ITEMS" localSheetId="8">#REF!</definedName>
    <definedName name="MARKET_PLATILLA_ITEMS" localSheetId="5">#REF!</definedName>
    <definedName name="MARKET_PLATILLA_ITEMS">#REF!</definedName>
    <definedName name="MARKET_PS" localSheetId="17">[1]MARKET!$G$30</definedName>
    <definedName name="MARKET_PS" localSheetId="22">[1]MARKET!$G$30</definedName>
    <definedName name="MARKET_PS" localSheetId="29">[1]MARKET!$G$30</definedName>
    <definedName name="MARKET_PS" localSheetId="35">'8811-MARKET'!$G$32</definedName>
    <definedName name="MARKET_PS" localSheetId="38">[1]MARKET!$G$30</definedName>
    <definedName name="MARKET_PS" localSheetId="9">#REF!</definedName>
    <definedName name="MARKET_PS" localSheetId="10">#REF!</definedName>
    <definedName name="MARKET_PS" localSheetId="8">#REF!</definedName>
    <definedName name="MARKET_PS" localSheetId="5">#REF!</definedName>
    <definedName name="MARKET_PS">#REF!</definedName>
    <definedName name="param_cash_gift" localSheetId="10">[3]param!$B$4</definedName>
    <definedName name="param_cash_gift">param!$B$4</definedName>
    <definedName name="param_ecc" localSheetId="10">[3]param!$B$6</definedName>
    <definedName name="param_ecc">param!$B$6</definedName>
    <definedName name="param_pagibig" localSheetId="10">[3]param!$B$5</definedName>
    <definedName name="param_pagibig">param!$B$5</definedName>
    <definedName name="param_pbb" localSheetId="10">[3]param!$B$8</definedName>
    <definedName name="param_pbb">param!$B$8</definedName>
    <definedName name="param_pei" localSheetId="10">[3]param!$B$7</definedName>
    <definedName name="param_pei">param!$B$7</definedName>
    <definedName name="param_pera" localSheetId="10">[3]param!$B$2</definedName>
    <definedName name="param_pera">param!$B$2</definedName>
    <definedName name="param_uniform" localSheetId="10">[3]param!$B$3</definedName>
    <definedName name="param_uniform">param!$B$3</definedName>
    <definedName name="pera">param!$B$2</definedName>
    <definedName name="PERMITS_CO" localSheetId="17">[1]PERMITS!$G$64</definedName>
    <definedName name="PERMITS_CO" localSheetId="22">[1]PERMITS!$G$64</definedName>
    <definedName name="PERMITS_CO" localSheetId="29">[1]PERMITS!$G$64</definedName>
    <definedName name="PERMITS_CO" localSheetId="35">[1]PERMITS!$G$64</definedName>
    <definedName name="PERMITS_CO" localSheetId="38">[1]PERMITS!$G$64</definedName>
    <definedName name="PERMITS_CO" localSheetId="9">'1015-PERMITS'!$G$49</definedName>
    <definedName name="PERMITS_CO" localSheetId="10">[2]PERMITS!$G$65</definedName>
    <definedName name="PERMITS_CO" localSheetId="8">[2]PERMITS!$G$65</definedName>
    <definedName name="PERMITS_CO">'1015-PERMITS'!$G$49</definedName>
    <definedName name="PERMITS_MOOE" localSheetId="17">[1]PERMITS!$G$55</definedName>
    <definedName name="PERMITS_MOOE" localSheetId="22">[1]PERMITS!$G$55</definedName>
    <definedName name="PERMITS_MOOE" localSheetId="29">[1]PERMITS!$G$55</definedName>
    <definedName name="PERMITS_MOOE" localSheetId="35">[1]PERMITS!$G$55</definedName>
    <definedName name="PERMITS_MOOE" localSheetId="38">[1]PERMITS!$G$55</definedName>
    <definedName name="PERMITS_MOOE" localSheetId="9">'1015-PERMITS'!$G$47</definedName>
    <definedName name="PERMITS_MOOE" localSheetId="10">[2]PERMITS!$G$56</definedName>
    <definedName name="PERMITS_MOOE" localSheetId="8">[2]PERMITS!$G$56</definedName>
    <definedName name="PERMITS_MOOE">'1015-PERMITS'!$G$47</definedName>
    <definedName name="PERMITS_PLATILLA_ITEMS" localSheetId="17">[1]PERMITS!$H$10</definedName>
    <definedName name="PERMITS_PLATILLA_ITEMS" localSheetId="22">[1]PERMITS!$H$10</definedName>
    <definedName name="PERMITS_PLATILLA_ITEMS" localSheetId="29">[1]PERMITS!$H$10</definedName>
    <definedName name="PERMITS_PLATILLA_ITEMS" localSheetId="35">[1]PERMITS!$H$10</definedName>
    <definedName name="PERMITS_PLATILLA_ITEMS" localSheetId="38">[1]PERMITS!$H$10</definedName>
    <definedName name="PERMITS_PLATILLA_ITEMS" localSheetId="9">'1015-PERMITS'!$H$10</definedName>
    <definedName name="PERMITS_PLATILLA_ITEMS" localSheetId="10">[2]PERMITS!$H$10</definedName>
    <definedName name="PERMITS_PLATILLA_ITEMS" localSheetId="8">[2]PERMITS!$H$10</definedName>
    <definedName name="PERMITS_PLATILLA_ITEMS">'1015-PERMITS'!$H$10</definedName>
    <definedName name="PERMITS_PS" localSheetId="17">[1]PERMITS!$G$31</definedName>
    <definedName name="PERMITS_PS" localSheetId="22">[1]PERMITS!$G$31</definedName>
    <definedName name="PERMITS_PS" localSheetId="29">[1]PERMITS!$G$31</definedName>
    <definedName name="PERMITS_PS" localSheetId="35">[1]PERMITS!$G$31</definedName>
    <definedName name="PERMITS_PS" localSheetId="38">[1]PERMITS!$G$31</definedName>
    <definedName name="PERMITS_PS" localSheetId="9">'1015-PERMITS'!$G$33</definedName>
    <definedName name="PERMITS_PS" localSheetId="10">[2]PERMITS!$G$31</definedName>
    <definedName name="PERMITS_PS" localSheetId="8">[2]PERMITS!$G$31</definedName>
    <definedName name="PERMITS_PS">'1015-PERMITS'!$G$33</definedName>
    <definedName name="PESO_CO" localSheetId="17">[1]PESO!$G$40</definedName>
    <definedName name="PESO_CO" localSheetId="22">[1]PESO!$G$40</definedName>
    <definedName name="PESO_CO" localSheetId="29">[1]PESO!$G$40</definedName>
    <definedName name="PESO_CO" localSheetId="35">[1]PESO!$G$40</definedName>
    <definedName name="PESO_CO" localSheetId="38">[1]PESO!$G$40</definedName>
    <definedName name="PESO_CO" localSheetId="9">'1033-PESO'!$G$45</definedName>
    <definedName name="PESO_CO" localSheetId="10">[2]PESO!$G$40</definedName>
    <definedName name="PESO_CO" localSheetId="8">[2]PESO!$G$40</definedName>
    <definedName name="PESO_CO">'1033-PESO'!$G$45</definedName>
    <definedName name="PESO_MOOE" localSheetId="17">[1]PESO!$G$38</definedName>
    <definedName name="PESO_MOOE" localSheetId="22">[1]PESO!$G$38</definedName>
    <definedName name="PESO_MOOE" localSheetId="29">[1]PESO!$G$38</definedName>
    <definedName name="PESO_MOOE" localSheetId="35">[1]PESO!$G$38</definedName>
    <definedName name="PESO_MOOE" localSheetId="38">[1]PESO!$G$38</definedName>
    <definedName name="PESO_MOOE" localSheetId="9">'1033-PESO'!$G$43</definedName>
    <definedName name="PESO_MOOE" localSheetId="10">[2]PESO!$G$38</definedName>
    <definedName name="PESO_MOOE" localSheetId="8">[2]PESO!$G$38</definedName>
    <definedName name="PESO_MOOE">'1033-PESO'!$G$43</definedName>
    <definedName name="PESO_PLATILLA_ITEMS" localSheetId="17">[1]PESO!$H$10</definedName>
    <definedName name="PESO_PLATILLA_ITEMS" localSheetId="22">[1]PESO!$H$10</definedName>
    <definedName name="PESO_PLATILLA_ITEMS" localSheetId="29">[1]PESO!$H$10</definedName>
    <definedName name="PESO_PLATILLA_ITEMS" localSheetId="35">[1]PESO!$H$10</definedName>
    <definedName name="PESO_PLATILLA_ITEMS" localSheetId="38">[1]PESO!$H$10</definedName>
    <definedName name="PESO_PLATILLA_ITEMS" localSheetId="9">'1033-PESO'!$H$10</definedName>
    <definedName name="PESO_PLATILLA_ITEMS" localSheetId="10">[2]PESO!$H$10</definedName>
    <definedName name="PESO_PLATILLA_ITEMS" localSheetId="8">[2]PESO!$H$10</definedName>
    <definedName name="PESO_PLATILLA_ITEMS">'1033-PESO'!$H$10</definedName>
    <definedName name="PESO_PS" localSheetId="17">[1]PESO!$G$31</definedName>
    <definedName name="PESO_PS" localSheetId="22">[1]PESO!$G$31</definedName>
    <definedName name="PESO_PS" localSheetId="29">[1]PESO!$G$31</definedName>
    <definedName name="PESO_PS" localSheetId="35">[1]PESO!$G$31</definedName>
    <definedName name="PESO_PS" localSheetId="38">[1]PESO!$G$31</definedName>
    <definedName name="PESO_PS" localSheetId="9">'1033-PESO'!$G$34</definedName>
    <definedName name="PESO_PS" localSheetId="10">[2]PESO!$G$31</definedName>
    <definedName name="PESO_PS" localSheetId="8">[2]PESO!$G$31</definedName>
    <definedName name="PESO_PS">'1033-PESO'!$G$34</definedName>
    <definedName name="_xlnm.Print_Area" localSheetId="7">'1011-CMO'!$A$1:$G$101</definedName>
    <definedName name="_xlnm.Print_Area" localSheetId="11">'1013-CSU'!$A$1:$G$53</definedName>
    <definedName name="_xlnm.Print_Area" localSheetId="12">'1014-BAPAS'!$A$1:$G$55</definedName>
    <definedName name="_xlnm.Print_Area" localSheetId="13">'1015-PERMITS'!$A$1:$G$59</definedName>
    <definedName name="_xlnm.Print_Area" localSheetId="14">'1016-CVMO'!$A$1:$G$83</definedName>
    <definedName name="_xlnm.Print_Area" localSheetId="15">'1021-SP'!$A$1:$G$75</definedName>
    <definedName name="_xlnm.Print_Area" localSheetId="16">'1022-SEC TO SP'!$A$1:$G$98</definedName>
    <definedName name="_xlnm.Print_Area" localSheetId="17">'1031-ADMIN'!$A$1:$G$57</definedName>
    <definedName name="_xlnm.Print_Area" localSheetId="18">'1032-CHRMO'!$A$1:$G$58</definedName>
    <definedName name="_xlnm.Print_Area" localSheetId="19">'1033-PESO'!$A$1:$G$57</definedName>
    <definedName name="_xlnm.Print_Area" localSheetId="20">'1041-CPDO'!$A$1:$G$57</definedName>
    <definedName name="_xlnm.Print_Area" localSheetId="21">'1051-CCRO'!$A$1:$G$59</definedName>
    <definedName name="_xlnm.Print_Area" localSheetId="22">'1061-CGSO'!$A$1:$G$90</definedName>
    <definedName name="_xlnm.Print_Area" localSheetId="23">'1071-CBO'!$A$1:$G$58</definedName>
    <definedName name="_xlnm.Print_Area" localSheetId="24">'1081-ACCTNG'!$A$1:$G$58</definedName>
    <definedName name="_xlnm.Print_Area" localSheetId="25">'1091-CTO'!$A$1:$G$70</definedName>
    <definedName name="_xlnm.Print_Area" localSheetId="0">'10POINTAFTERLFC'!$A$1:$D$13</definedName>
    <definedName name="_xlnm.Print_Area" localSheetId="26">'1101-ASSESSOR'!$A$1:$G$63</definedName>
    <definedName name="_xlnm.Print_Area" localSheetId="27">'1121-CPIO'!$A$1:$G$54</definedName>
    <definedName name="_xlnm.Print_Area" localSheetId="28">'1131-LEGAL'!$A$1:$G$59</definedName>
    <definedName name="_xlnm.Print_Area" localSheetId="4">'20%DF'!$A$1:$G$46</definedName>
    <definedName name="_xlnm.Print_Area" localSheetId="29">'4411-CHO'!$A$1:$G$93</definedName>
    <definedName name="_xlnm.Print_Area" localSheetId="6">'70% of 5%'!$A$1:$G$50</definedName>
    <definedName name="_xlnm.Print_Area" localSheetId="30">'7611-CSWDO'!$A$1:$G$99</definedName>
    <definedName name="_xlnm.Print_Area" localSheetId="31">'8711-AGRI'!$A$1:$G$72</definedName>
    <definedName name="_xlnm.Print_Area" localSheetId="32">'8721-VET'!$A$1:$G$74</definedName>
    <definedName name="_xlnm.Print_Area" localSheetId="33">'8731-CENRO'!$A$1:$G$56</definedName>
    <definedName name="_xlnm.Print_Area" localSheetId="34">'8751-CEO'!$A$1:$G$71</definedName>
    <definedName name="_xlnm.Print_Area" localSheetId="35">'8811-MARKET'!$A$1:$G$54</definedName>
    <definedName name="_xlnm.Print_Area" localSheetId="36">'BAC-BAC'!$A$1:$G$35</definedName>
    <definedName name="_xlnm.Print_Area" localSheetId="37">'CCDO-CCDO'!$A$1:$G$53</definedName>
    <definedName name="_xlnm.Print_Area" localSheetId="38">'CDRRMO-CDRRMO'!$A$1:$G$58</definedName>
    <definedName name="_xlnm.Print_Area" localSheetId="9">'CMO - SPPA'!$A$1:$G$365</definedName>
    <definedName name="_xlnm.Print_Area" localSheetId="39">'CTFRO-CTFRO'!$A$1:$G$53</definedName>
    <definedName name="_xlnm.Print_Area" localSheetId="40">'CZAO-CZAO'!$A$1:$G$54</definedName>
    <definedName name="_xlnm.Print_Area" localSheetId="41">'IAS-IAS'!$A$1:$G$47</definedName>
    <definedName name="_xlnm.Print_Area" localSheetId="42">'OCIT-OCIT'!$A$1:$G$55</definedName>
    <definedName name="_xlnm.Print_Area" localSheetId="43">'SOLIDWASTE-SOLIDWASTE'!$A$1:$G$48</definedName>
    <definedName name="_xlnm.Print_Area" localSheetId="1">'sorcitycoopdev''t.office'!$A$1:$G$46</definedName>
    <definedName name="_xlnm.Print_Area" localSheetId="10">'SPPA FORM2A'!$A$1:$F$403</definedName>
    <definedName name="_xlnm.Print_Area" localSheetId="8">'SPPA-CMO 2021'!$A$1:$G$428</definedName>
    <definedName name="_xlnm.Print_Area" localSheetId="3">SUMMARY!$A$1:$H$50</definedName>
    <definedName name="_xlnm.Print_Area" localSheetId="5">'SUMMARY (2)'!$A$1:$H$48</definedName>
    <definedName name="_xlnm.Print_Area" localSheetId="44">'TOURISM-TOURISM'!$A$1:$G$62</definedName>
    <definedName name="_xlnm.Print_Area" localSheetId="45">'TRAFFIC-TRAFFIC'!$A$1:$G$34</definedName>
    <definedName name="_xlnm.Print_Titles" localSheetId="7">'1011-CMO'!$6:$9</definedName>
    <definedName name="_xlnm.Print_Titles" localSheetId="11">'1013-CSU'!$6:$9</definedName>
    <definedName name="_xlnm.Print_Titles" localSheetId="12">'1014-BAPAS'!$6:$9</definedName>
    <definedName name="_xlnm.Print_Titles" localSheetId="13">'1015-PERMITS'!$6:$9</definedName>
    <definedName name="_xlnm.Print_Titles" localSheetId="14">'1016-CVMO'!$6:$9</definedName>
    <definedName name="_xlnm.Print_Titles" localSheetId="15">'1021-SP'!$6:$9</definedName>
    <definedName name="_xlnm.Print_Titles" localSheetId="16">'1022-SEC TO SP'!$6:$9</definedName>
    <definedName name="_xlnm.Print_Titles" localSheetId="17">'1031-ADMIN'!$6:$9</definedName>
    <definedName name="_xlnm.Print_Titles" localSheetId="18">'1032-CHRMO'!$6:$9</definedName>
    <definedName name="_xlnm.Print_Titles" localSheetId="19">'1033-PESO'!$6:$9</definedName>
    <definedName name="_xlnm.Print_Titles" localSheetId="20">'1041-CPDO'!$6:$9</definedName>
    <definedName name="_xlnm.Print_Titles" localSheetId="21">'1051-CCRO'!$6:$9</definedName>
    <definedName name="_xlnm.Print_Titles" localSheetId="22">'1061-CGSO'!$6:$9</definedName>
    <definedName name="_xlnm.Print_Titles" localSheetId="23">'1071-CBO'!$6:$9</definedName>
    <definedName name="_xlnm.Print_Titles" localSheetId="24">'1081-ACCTNG'!$6:$9</definedName>
    <definedName name="_xlnm.Print_Titles" localSheetId="25">'1091-CTO'!$6:$9</definedName>
    <definedName name="_xlnm.Print_Titles" localSheetId="0">'10POINTAFTERLFC'!#REF!</definedName>
    <definedName name="_xlnm.Print_Titles" localSheetId="26">'1101-ASSESSOR'!$6:$9</definedName>
    <definedName name="_xlnm.Print_Titles" localSheetId="27">'1121-CPIO'!$6:$9</definedName>
    <definedName name="_xlnm.Print_Titles" localSheetId="28">'1131-LEGAL'!$6:$9</definedName>
    <definedName name="_xlnm.Print_Titles" localSheetId="4">'20%DF'!$6:$9</definedName>
    <definedName name="_xlnm.Print_Titles" localSheetId="29">'4411-CHO'!$6:$9</definedName>
    <definedName name="_xlnm.Print_Titles" localSheetId="6">'70% of 5%'!$6:$9</definedName>
    <definedName name="_xlnm.Print_Titles" localSheetId="30">'7611-CSWDO'!$6:$9</definedName>
    <definedName name="_xlnm.Print_Titles" localSheetId="31">'8711-AGRI'!$6:$9</definedName>
    <definedName name="_xlnm.Print_Titles" localSheetId="32">'8721-VET'!$6:$9</definedName>
    <definedName name="_xlnm.Print_Titles" localSheetId="33">'8731-CENRO'!$6:$9</definedName>
    <definedName name="_xlnm.Print_Titles" localSheetId="34">'8751-CEO'!$6:$9</definedName>
    <definedName name="_xlnm.Print_Titles" localSheetId="35">'8811-MARKET'!$6:$9</definedName>
    <definedName name="_xlnm.Print_Titles" localSheetId="36">'BAC-BAC'!$6:$9</definedName>
    <definedName name="_xlnm.Print_Titles" localSheetId="37">'CCDO-CCDO'!$6:$9</definedName>
    <definedName name="_xlnm.Print_Titles" localSheetId="38">'CDRRMO-CDRRMO'!$6:$9</definedName>
    <definedName name="_xlnm.Print_Titles" localSheetId="9">'CMO - SPPA'!$6:$9</definedName>
    <definedName name="_xlnm.Print_Titles" localSheetId="39">'CTFRO-CTFRO'!$6:$9</definedName>
    <definedName name="_xlnm.Print_Titles" localSheetId="40">'CZAO-CZAO'!$6:$9</definedName>
    <definedName name="_xlnm.Print_Titles" localSheetId="41">'IAS-IAS'!$6:$9</definedName>
    <definedName name="_xlnm.Print_Titles" localSheetId="42">'OCIT-OCIT'!$6:$9</definedName>
    <definedName name="_xlnm.Print_Titles" localSheetId="43">'SOLIDWASTE-SOLIDWASTE'!$6:$9</definedName>
    <definedName name="_xlnm.Print_Titles" localSheetId="1">'sorcitycoopdev''t.office'!$6:$9</definedName>
    <definedName name="_xlnm.Print_Titles" localSheetId="10">'SPPA FORM2A'!$6:$9</definedName>
    <definedName name="_xlnm.Print_Titles" localSheetId="8">'SPPA-CMO 2021'!$6:$9</definedName>
    <definedName name="_xlnm.Print_Titles" localSheetId="3">SUMMARY!$3:$3</definedName>
    <definedName name="_xlnm.Print_Titles" localSheetId="5">'SUMMARY (2)'!$3:$3</definedName>
    <definedName name="_xlnm.Print_Titles" localSheetId="44">'TOURISM-TOURISM'!$6:$9</definedName>
    <definedName name="_xlnm.Print_Titles" localSheetId="45">'TRAFFIC-TRAFFIC'!$6:$9</definedName>
    <definedName name="SECSP_CO" localSheetId="17">[1]SECSP!$G$60</definedName>
    <definedName name="SECSP_CO" localSheetId="22">[1]SECSP!$G$60</definedName>
    <definedName name="SECSP_CO" localSheetId="29">[1]SECSP!$G$60</definedName>
    <definedName name="SECSP_CO" localSheetId="35">[1]SECSP!$G$60</definedName>
    <definedName name="SECSP_CO" localSheetId="38">[1]SECSP!$G$60</definedName>
    <definedName name="SECSP_CO" localSheetId="9">'1022-SEC TO SP'!$G$87</definedName>
    <definedName name="SECSP_CO" localSheetId="10">[2]SECSP!$G$64</definedName>
    <definedName name="SECSP_CO" localSheetId="8">[2]SECSP!$G$64</definedName>
    <definedName name="SECSP_CO">'1022-SEC TO SP'!$G$87</definedName>
    <definedName name="SECSP_MOOE" localSheetId="17">[1]SECSP!$G$55</definedName>
    <definedName name="SECSP_MOOE" localSheetId="22">[1]SECSP!$G$55</definedName>
    <definedName name="SECSP_MOOE" localSheetId="29">[1]SECSP!$G$55</definedName>
    <definedName name="SECSP_MOOE" localSheetId="35">[1]SECSP!$G$55</definedName>
    <definedName name="SECSP_MOOE" localSheetId="38">[1]SECSP!$G$55</definedName>
    <definedName name="SECSP_MOOE" localSheetId="9">'1022-SEC TO SP'!$G$63</definedName>
    <definedName name="SECSP_MOOE" localSheetId="10">[2]SECSP!$G$57</definedName>
    <definedName name="SECSP_MOOE" localSheetId="8">[2]SECSP!$G$57</definedName>
    <definedName name="SECSP_MOOE">'1022-SEC TO SP'!$G$63</definedName>
    <definedName name="SECSP_PLATILLA_ITEMS" localSheetId="17">[1]SECSP!$H$10</definedName>
    <definedName name="SECSP_PLATILLA_ITEMS" localSheetId="22">[1]SECSP!$H$10</definedName>
    <definedName name="SECSP_PLATILLA_ITEMS" localSheetId="29">[1]SECSP!$H$10</definedName>
    <definedName name="SECSP_PLATILLA_ITEMS" localSheetId="35">[1]SECSP!$H$10</definedName>
    <definedName name="SECSP_PLATILLA_ITEMS" localSheetId="38">[1]SECSP!$H$10</definedName>
    <definedName name="SECSP_PLATILLA_ITEMS" localSheetId="9">'1022-SEC TO SP'!$H$10</definedName>
    <definedName name="SECSP_PLATILLA_ITEMS" localSheetId="10">[2]SECSP!$H$10</definedName>
    <definedName name="SECSP_PLATILLA_ITEMS" localSheetId="8">[2]SECSP!$H$10</definedName>
    <definedName name="SECSP_PLATILLA_ITEMS">'1022-SEC TO SP'!$H$10</definedName>
    <definedName name="SECSP_PS" localSheetId="17">[1]SECSP!$G$34</definedName>
    <definedName name="SECSP_PS" localSheetId="22">[1]SECSP!$G$34</definedName>
    <definedName name="SECSP_PS" localSheetId="29">[1]SECSP!$G$34</definedName>
    <definedName name="SECSP_PS" localSheetId="35">[1]SECSP!$G$34</definedName>
    <definedName name="SECSP_PS" localSheetId="38">[1]SECSP!$G$34</definedName>
    <definedName name="SECSP_PS" localSheetId="9">'1022-SEC TO SP'!$G$37</definedName>
    <definedName name="SECSP_PS" localSheetId="10">[2]SECSP!$G$34</definedName>
    <definedName name="SECSP_PS" localSheetId="8">[2]SECSP!$G$34</definedName>
    <definedName name="SECSP_PS">'1022-SEC TO SP'!$G$37</definedName>
    <definedName name="SOLIDWASTE_CO" localSheetId="17">[1]SOLIDWASTE!$G$36</definedName>
    <definedName name="SOLIDWASTE_CO" localSheetId="22">[1]SOLIDWASTE!$G$36</definedName>
    <definedName name="SOLIDWASTE_CO" localSheetId="29">[1]SOLIDWASTE!$G$36</definedName>
    <definedName name="SOLIDWASTE_CO" localSheetId="35">[1]SOLIDWASTE!$G$36</definedName>
    <definedName name="SOLIDWASTE_CO" localSheetId="38">[1]SOLIDWASTE!$G$36</definedName>
    <definedName name="SOLIDWASTE_CO" localSheetId="9">'SOLIDWASTE-SOLIDWASTE'!$G$38</definedName>
    <definedName name="SOLIDWASTE_CO" localSheetId="42">'OCIT-OCIT'!$G$45</definedName>
    <definedName name="SOLIDWASTE_CO" localSheetId="1">'sorcitycoopdev''t.office'!$G$36</definedName>
    <definedName name="SOLIDWASTE_CO" localSheetId="10">[2]SOLIDWASTE!$G$36</definedName>
    <definedName name="SOLIDWASTE_CO" localSheetId="8">[2]SOLIDWASTE!$G$36</definedName>
    <definedName name="SOLIDWASTE_CO">'SOLIDWASTE-SOLIDWASTE'!$G$38</definedName>
    <definedName name="SOLIDWASTE_MOOE" localSheetId="17">[1]SOLIDWASTE!$G$34</definedName>
    <definedName name="SOLIDWASTE_MOOE" localSheetId="22">[1]SOLIDWASTE!$G$34</definedName>
    <definedName name="SOLIDWASTE_MOOE" localSheetId="29">[1]SOLIDWASTE!$G$34</definedName>
    <definedName name="SOLIDWASTE_MOOE" localSheetId="35">[1]SOLIDWASTE!$G$34</definedName>
    <definedName name="SOLIDWASTE_MOOE" localSheetId="38">[1]SOLIDWASTE!$G$34</definedName>
    <definedName name="SOLIDWASTE_MOOE" localSheetId="9">'SOLIDWASTE-SOLIDWASTE'!$G$36</definedName>
    <definedName name="SOLIDWASTE_MOOE" localSheetId="42">'OCIT-OCIT'!$G$43</definedName>
    <definedName name="SOLIDWASTE_MOOE" localSheetId="1">'sorcitycoopdev''t.office'!$G$34</definedName>
    <definedName name="SOLIDWASTE_MOOE" localSheetId="10">[2]SOLIDWASTE!$G$34</definedName>
    <definedName name="SOLIDWASTE_MOOE" localSheetId="8">[2]SOLIDWASTE!$G$34</definedName>
    <definedName name="SOLIDWASTE_MOOE">'SOLIDWASTE-SOLIDWASTE'!$G$36</definedName>
    <definedName name="SOLIDWASTE_PLATILLA_ITEMS" localSheetId="17">[1]SOLIDWASTE!$H$10</definedName>
    <definedName name="SOLIDWASTE_PLATILLA_ITEMS" localSheetId="22">[1]SOLIDWASTE!$H$10</definedName>
    <definedName name="SOLIDWASTE_PLATILLA_ITEMS" localSheetId="29">[1]SOLIDWASTE!$H$10</definedName>
    <definedName name="SOLIDWASTE_PLATILLA_ITEMS" localSheetId="35">[1]SOLIDWASTE!$H$10</definedName>
    <definedName name="SOLIDWASTE_PLATILLA_ITEMS" localSheetId="38">[1]SOLIDWASTE!$H$10</definedName>
    <definedName name="SOLIDWASTE_PLATILLA_ITEMS" localSheetId="9">'SOLIDWASTE-SOLIDWASTE'!$H$10</definedName>
    <definedName name="SOLIDWASTE_PLATILLA_ITEMS" localSheetId="42">'OCIT-OCIT'!$H$10</definedName>
    <definedName name="SOLIDWASTE_PLATILLA_ITEMS" localSheetId="1">'sorcitycoopdev''t.office'!$H$10</definedName>
    <definedName name="SOLIDWASTE_PLATILLA_ITEMS" localSheetId="10">[2]SOLIDWASTE!$H$10</definedName>
    <definedName name="SOLIDWASTE_PLATILLA_ITEMS" localSheetId="8">[2]SOLIDWASTE!$H$10</definedName>
    <definedName name="SOLIDWASTE_PLATILLA_ITEMS">'SOLIDWASTE-SOLIDWASTE'!$H$10</definedName>
    <definedName name="SOLIDWASTE_PS" localSheetId="17">[1]SOLIDWASTE!$G$30</definedName>
    <definedName name="SOLIDWASTE_PS" localSheetId="22">[1]SOLIDWASTE!$G$30</definedName>
    <definedName name="SOLIDWASTE_PS" localSheetId="29">[1]SOLIDWASTE!$G$30</definedName>
    <definedName name="SOLIDWASTE_PS" localSheetId="35">[1]SOLIDWASTE!$G$30</definedName>
    <definedName name="SOLIDWASTE_PS" localSheetId="38">[1]SOLIDWASTE!$G$30</definedName>
    <definedName name="SOLIDWASTE_PS" localSheetId="9">'SOLIDWASTE-SOLIDWASTE'!$G$32</definedName>
    <definedName name="SOLIDWASTE_PS" localSheetId="42">'OCIT-OCIT'!$G$34</definedName>
    <definedName name="SOLIDWASTE_PS" localSheetId="1">'sorcitycoopdev''t.office'!$G$30</definedName>
    <definedName name="SOLIDWASTE_PS" localSheetId="10">[2]SOLIDWASTE!$G$30</definedName>
    <definedName name="SOLIDWASTE_PS" localSheetId="8">[2]SOLIDWASTE!$G$30</definedName>
    <definedName name="SOLIDWASTE_PS">'SOLIDWASTE-SOLIDWASTE'!$G$32</definedName>
    <definedName name="SP_CO" localSheetId="17">[1]SP!$G$65</definedName>
    <definedName name="SP_CO" localSheetId="22">[1]SP!$G$65</definedName>
    <definedName name="SP_CO" localSheetId="29">[1]SP!$G$65</definedName>
    <definedName name="SP_CO" localSheetId="35">[1]SP!$G$65</definedName>
    <definedName name="SP_CO" localSheetId="38">[1]SP!$G$65</definedName>
    <definedName name="SP_CO" localSheetId="9">'1021-SP'!$G$65</definedName>
    <definedName name="SP_CO" localSheetId="10">[2]SP!$G$65</definedName>
    <definedName name="SP_CO" localSheetId="8">[2]SP!$G$65</definedName>
    <definedName name="SP_CO">'1021-SP'!$G$65</definedName>
    <definedName name="SP_MOOE" localSheetId="17">[1]SP!$G$56</definedName>
    <definedName name="SP_MOOE" localSheetId="22">[1]SP!$G$56</definedName>
    <definedName name="SP_MOOE" localSheetId="29">[1]SP!$G$56</definedName>
    <definedName name="SP_MOOE" localSheetId="35">[1]SP!$G$56</definedName>
    <definedName name="SP_MOOE" localSheetId="38">[1]SP!$G$56</definedName>
    <definedName name="SP_MOOE" localSheetId="9">'1021-SP'!$G$58</definedName>
    <definedName name="SP_MOOE" localSheetId="10">[2]SP!$G$56</definedName>
    <definedName name="SP_MOOE" localSheetId="8">[2]SP!$G$56</definedName>
    <definedName name="SP_MOOE">'1021-SP'!$G$58</definedName>
    <definedName name="SP_PLATILLA_ITEMS" localSheetId="17">[1]SP!$H$10</definedName>
    <definedName name="SP_PLATILLA_ITEMS" localSheetId="22">[1]SP!$H$10</definedName>
    <definedName name="SP_PLATILLA_ITEMS" localSheetId="29">[1]SP!$H$10</definedName>
    <definedName name="SP_PLATILLA_ITEMS" localSheetId="35">[1]SP!$H$10</definedName>
    <definedName name="SP_PLATILLA_ITEMS" localSheetId="38">[1]SP!$H$10</definedName>
    <definedName name="SP_PLATILLA_ITEMS" localSheetId="9">'1021-SP'!$H$10</definedName>
    <definedName name="SP_PLATILLA_ITEMS" localSheetId="10">[2]SP!$H$10</definedName>
    <definedName name="SP_PLATILLA_ITEMS" localSheetId="8">[2]SP!$H$10</definedName>
    <definedName name="SP_PLATILLA_ITEMS">'1021-SP'!$H$10</definedName>
    <definedName name="SP_PS" localSheetId="17">[1]SP!$G$33</definedName>
    <definedName name="SP_PS" localSheetId="22">[1]SP!$G$33</definedName>
    <definedName name="SP_PS" localSheetId="29">[1]SP!$G$33</definedName>
    <definedName name="SP_PS" localSheetId="35">[1]SP!$G$33</definedName>
    <definedName name="SP_PS" localSheetId="38">[1]SP!$G$33</definedName>
    <definedName name="SP_PS" localSheetId="9">'1021-SP'!$G$35</definedName>
    <definedName name="SP_PS" localSheetId="10">[2]SP!$G$33</definedName>
    <definedName name="SP_PS" localSheetId="8">[2]SP!$G$33</definedName>
    <definedName name="SP_PS">'1021-SP'!$G$35</definedName>
    <definedName name="SPPA_TOTAL" localSheetId="17">'[1]CMO - SPPA'!$G$346</definedName>
    <definedName name="sppa_total" localSheetId="10">'SPPA FORM2A'!#REF!</definedName>
    <definedName name="sppa_total" localSheetId="8">'SPPA-CMO 2021'!#REF!</definedName>
    <definedName name="sppa_total">'CMO - SPPA'!$G$354</definedName>
    <definedName name="TOURISM_CO" localSheetId="17">[1]TOURISM!$G$62</definedName>
    <definedName name="TOURISM_CO" localSheetId="22">[1]TOURISM!$G$62</definedName>
    <definedName name="TOURISM_CO" localSheetId="29">[1]TOURISM!$G$62</definedName>
    <definedName name="TOURISM_CO" localSheetId="35">[1]TOURISM!$G$62</definedName>
    <definedName name="TOURISM_CO" localSheetId="37">'CCDO-CCDO'!$G$43</definedName>
    <definedName name="TOURISM_CO" localSheetId="38">[1]TOURISM!$G$62</definedName>
    <definedName name="TOURISM_CO" localSheetId="9">'TOURISM-TOURISM'!$G$53</definedName>
    <definedName name="TOURISM_CO" localSheetId="10">[2]TOURISM!$G$63</definedName>
    <definedName name="TOURISM_CO" localSheetId="8">[2]TOURISM!$G$63</definedName>
    <definedName name="TOURISM_CO">'TOURISM-TOURISM'!$G$53</definedName>
    <definedName name="TOURISM_MOOE" localSheetId="17">[1]TOURISM!$G$51</definedName>
    <definedName name="TOURISM_MOOE" localSheetId="22">[1]TOURISM!$G$51</definedName>
    <definedName name="TOURISM_MOOE" localSheetId="29">[1]TOURISM!$G$51</definedName>
    <definedName name="TOURISM_MOOE" localSheetId="35">[1]TOURISM!$G$51</definedName>
    <definedName name="TOURISM_MOOE" localSheetId="37">'CCDO-CCDO'!$G$41</definedName>
    <definedName name="TOURISM_MOOE" localSheetId="38">[1]TOURISM!$G$51</definedName>
    <definedName name="TOURISM_MOOE" localSheetId="9">'TOURISM-TOURISM'!$G$48</definedName>
    <definedName name="TOURISM_MOOE" localSheetId="10">[2]TOURISM!$G$52</definedName>
    <definedName name="TOURISM_MOOE" localSheetId="8">[2]TOURISM!$G$52</definedName>
    <definedName name="TOURISM_MOOE">'TOURISM-TOURISM'!$G$48</definedName>
    <definedName name="TOURISM_PLATILLA_ITEMS" localSheetId="17">[1]TOURISM!$H$10</definedName>
    <definedName name="TOURISM_PLATILLA_ITEMS" localSheetId="22">[1]TOURISM!$H$10</definedName>
    <definedName name="TOURISM_PLATILLA_ITEMS" localSheetId="29">[1]TOURISM!$H$10</definedName>
    <definedName name="TOURISM_PLATILLA_ITEMS" localSheetId="35">[1]TOURISM!$H$10</definedName>
    <definedName name="TOURISM_PLATILLA_ITEMS" localSheetId="38">[1]TOURISM!$H$10</definedName>
    <definedName name="TOURISM_PLATILLA_ITEMS" localSheetId="9">'TOURISM-TOURISM'!$H$10</definedName>
    <definedName name="TOURISM_PLATILLA_ITEMS" localSheetId="10">[2]TOURISM!$H$10</definedName>
    <definedName name="TOURISM_PLATILLA_ITEMS" localSheetId="8">[2]TOURISM!$H$10</definedName>
    <definedName name="TOURISM_PLATILLA_ITEMS">'TOURISM-TOURISM'!$H$10</definedName>
    <definedName name="TOURISM_PS" localSheetId="17">[1]TOURISM!$G$31</definedName>
    <definedName name="TOURISM_PS" localSheetId="22">[1]TOURISM!$G$31</definedName>
    <definedName name="TOURISM_PS" localSheetId="29">[1]TOURISM!$G$31</definedName>
    <definedName name="TOURISM_PS" localSheetId="35">[1]TOURISM!$G$31</definedName>
    <definedName name="TOURISM_PS" localSheetId="37">'CCDO-CCDO'!$G$30</definedName>
    <definedName name="TOURISM_PS" localSheetId="38">[1]TOURISM!$G$31</definedName>
    <definedName name="TOURISM_PS" localSheetId="9">'TOURISM-TOURISM'!$G$34</definedName>
    <definedName name="TOURISM_PS" localSheetId="10">[2]TOURISM!$G$31</definedName>
    <definedName name="TOURISM_PS" localSheetId="8">[2]TOURISM!$G$31</definedName>
    <definedName name="TOURISM_PS">'TOURISM-TOURISM'!$G$34</definedName>
    <definedName name="TRAFFIC_CO" localSheetId="17">[1]TRAFFIC!$G$34</definedName>
    <definedName name="TRAFFIC_CO" localSheetId="22">[1]TRAFFIC!$G$34</definedName>
    <definedName name="TRAFFIC_CO" localSheetId="29">[1]TRAFFIC!$G$34</definedName>
    <definedName name="TRAFFIC_CO" localSheetId="35">[1]TRAFFIC!$G$34</definedName>
    <definedName name="TRAFFIC_CO" localSheetId="38">[1]TRAFFIC!$G$34</definedName>
    <definedName name="TRAFFIC_CO" localSheetId="9">'TRAFFIC-TRAFFIC'!$G$24</definedName>
    <definedName name="TRAFFIC_CO" localSheetId="10">[2]TRAFFIC!$G$34</definedName>
    <definedName name="TRAFFIC_CO" localSheetId="8">[2]TRAFFIC!$G$34</definedName>
    <definedName name="TRAFFIC_CO">'TRAFFIC-TRAFFIC'!$G$24</definedName>
    <definedName name="TRAFFIC_MOOE" localSheetId="17">[1]TRAFFIC!$G$28</definedName>
    <definedName name="TRAFFIC_MOOE" localSheetId="22">[1]TRAFFIC!$G$28</definedName>
    <definedName name="TRAFFIC_MOOE" localSheetId="29">[1]TRAFFIC!$G$28</definedName>
    <definedName name="TRAFFIC_MOOE" localSheetId="35">[1]TRAFFIC!$G$28</definedName>
    <definedName name="TRAFFIC_MOOE" localSheetId="38">[1]TRAFFIC!$G$28</definedName>
    <definedName name="TRAFFIC_MOOE" localSheetId="9">'TRAFFIC-TRAFFIC'!$G$22</definedName>
    <definedName name="TRAFFIC_MOOE" localSheetId="10">[2]TRAFFIC!$G$28</definedName>
    <definedName name="TRAFFIC_MOOE" localSheetId="8">[2]TRAFFIC!$G$28</definedName>
    <definedName name="TRAFFIC_MOOE">'TRAFFIC-TRAFFIC'!$G$22</definedName>
    <definedName name="VET_CO" localSheetId="17">[1]VET!$G$121</definedName>
    <definedName name="VET_CO" localSheetId="22">[1]VET!$G$121</definedName>
    <definedName name="VET_CO" localSheetId="29">[1]VET!$G$121</definedName>
    <definedName name="VET_CO" localSheetId="35">[1]VET!$G$121</definedName>
    <definedName name="VET_CO" localSheetId="38">[1]VET!$G$121</definedName>
    <definedName name="VET_CO" localSheetId="9">'8721-VET'!$G$64</definedName>
    <definedName name="VET_CO" localSheetId="10">[2]VET!$G$121</definedName>
    <definedName name="VET_CO" localSheetId="8">[2]VET!$G$121</definedName>
    <definedName name="VET_CO">'8721-VET'!$G$64</definedName>
    <definedName name="VET_MOOE" localSheetId="17">[1]VET!$G$92</definedName>
    <definedName name="VET_MOOE" localSheetId="22">[1]VET!$G$92</definedName>
    <definedName name="VET_MOOE" localSheetId="29">[1]VET!$G$92</definedName>
    <definedName name="VET_MOOE" localSheetId="35">[1]VET!$G$92</definedName>
    <definedName name="VET_MOOE" localSheetId="38">[1]VET!$G$92</definedName>
    <definedName name="VET_MOOE" localSheetId="9">'8721-VET'!$G$62</definedName>
    <definedName name="VET_MOOE" localSheetId="10">[2]VET!$G$92</definedName>
    <definedName name="VET_MOOE" localSheetId="8">[2]VET!$G$92</definedName>
    <definedName name="VET_MOOE">'8721-VET'!$G$62</definedName>
    <definedName name="VET_PLATILLA_ITEMS" localSheetId="17">[1]VET!$H$10</definedName>
    <definedName name="VET_PLATILLA_ITEMS" localSheetId="22">[1]VET!$H$10</definedName>
    <definedName name="VET_PLATILLA_ITEMS" localSheetId="29">[1]VET!$H$10</definedName>
    <definedName name="VET_PLATILLA_ITEMS" localSheetId="35">[1]VET!$H$10</definedName>
    <definedName name="VET_PLATILLA_ITEMS" localSheetId="38">[1]VET!$H$10</definedName>
    <definedName name="VET_PLATILLA_ITEMS" localSheetId="9">'8721-VET'!$H$10</definedName>
    <definedName name="VET_PLATILLA_ITEMS" localSheetId="10">[2]VET!$H$10</definedName>
    <definedName name="VET_PLATILLA_ITEMS" localSheetId="8">[2]VET!$H$10</definedName>
    <definedName name="VET_PLATILLA_ITEMS">'8721-VET'!$H$10</definedName>
    <definedName name="VET_PS" localSheetId="17">[1]VET!$G$36</definedName>
    <definedName name="VET_PS" localSheetId="22">[1]VET!$G$36</definedName>
    <definedName name="VET_PS" localSheetId="29">[1]VET!$G$36</definedName>
    <definedName name="VET_PS" localSheetId="35">[1]VET!$G$36</definedName>
    <definedName name="VET_PS" localSheetId="38">[1]VET!$G$36</definedName>
    <definedName name="VET_PS" localSheetId="9">'8721-VET'!$G$38</definedName>
    <definedName name="VET_PS" localSheetId="10">[2]VET!$G$36</definedName>
    <definedName name="VET_PS" localSheetId="8">[2]VET!$G$36</definedName>
    <definedName name="VET_PS">'8721-VET'!$G$38</definedName>
    <definedName name="ZONING_CO" localSheetId="17">[1]ZONING!$G$62</definedName>
    <definedName name="ZONING_CO" localSheetId="22">[1]ZONING!$G$62</definedName>
    <definedName name="ZONING_CO" localSheetId="29">[1]ZONING!$G$62</definedName>
    <definedName name="ZONING_CO" localSheetId="35">[1]ZONING!$G$62</definedName>
    <definedName name="ZONING_CO" localSheetId="38">[1]ZONING!$G$62</definedName>
    <definedName name="ZONING_CO" localSheetId="9">'CZAO-CZAO'!$G$45</definedName>
    <definedName name="ZONING_CO" localSheetId="10">[2]ZONING!$G$62</definedName>
    <definedName name="ZONING_CO" localSheetId="8">[2]ZONING!$G$62</definedName>
    <definedName name="ZONING_CO">'CZAO-CZAO'!$G$45</definedName>
    <definedName name="ZONING_MOOE" localSheetId="17">[1]ZONING!$G$53</definedName>
    <definedName name="ZONING_MOOE" localSheetId="22">[1]ZONING!$G$53</definedName>
    <definedName name="ZONING_MOOE" localSheetId="29">[1]ZONING!$G$53</definedName>
    <definedName name="ZONING_MOOE" localSheetId="35">[1]ZONING!$G$53</definedName>
    <definedName name="ZONING_MOOE" localSheetId="38">[1]ZONING!$G$53</definedName>
    <definedName name="ZONING_MOOE" localSheetId="9">'CZAO-CZAO'!$G$43</definedName>
    <definedName name="ZONING_MOOE" localSheetId="10">[2]ZONING!$G$53</definedName>
    <definedName name="ZONING_MOOE" localSheetId="8">[2]ZONING!$G$53</definedName>
    <definedName name="ZONING_MOOE">'CZAO-CZAO'!$G$43</definedName>
    <definedName name="ZONING_PLATILLA_ITEMS" localSheetId="17">[1]ZONING!$H$10</definedName>
    <definedName name="ZONING_PLATILLA_ITEMS" localSheetId="22">[1]ZONING!$H$10</definedName>
    <definedName name="ZONING_PLATILLA_ITEMS" localSheetId="29">[1]ZONING!$H$10</definedName>
    <definedName name="ZONING_PLATILLA_ITEMS" localSheetId="35">[1]ZONING!$H$10</definedName>
    <definedName name="ZONING_PLATILLA_ITEMS" localSheetId="38">[1]ZONING!$H$10</definedName>
    <definedName name="ZONING_PLATILLA_ITEMS" localSheetId="9">'CZAO-CZAO'!$H$10</definedName>
    <definedName name="ZONING_PLATILLA_ITEMS" localSheetId="10">[2]ZONING!$H$10</definedName>
    <definedName name="ZONING_PLATILLA_ITEMS" localSheetId="8">[2]ZONING!$H$10</definedName>
    <definedName name="ZONING_PLATILLA_ITEMS">'CZAO-CZAO'!$H$10</definedName>
    <definedName name="ZONING_PS" localSheetId="17">[1]ZONING!$G$33</definedName>
    <definedName name="ZONING_PS" localSheetId="22">[1]ZONING!$G$33</definedName>
    <definedName name="ZONING_PS" localSheetId="29">[1]ZONING!$G$33</definedName>
    <definedName name="ZONING_PS" localSheetId="35">[1]ZONING!$G$33</definedName>
    <definedName name="ZONING_PS" localSheetId="38">[1]ZONING!$G$33</definedName>
    <definedName name="ZONING_PS" localSheetId="9">'CZAO-CZAO'!$G$34</definedName>
    <definedName name="ZONING_PS" localSheetId="10">[2]ZONING!$G$33</definedName>
    <definedName name="ZONING_PS" localSheetId="8">[2]ZONING!$G$33</definedName>
    <definedName name="ZONING_PS">'CZAO-CZAO'!$G$34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65" l="1"/>
  <c r="H50" i="65"/>
  <c r="I38" i="68"/>
  <c r="H57" i="19"/>
  <c r="H53" i="19"/>
  <c r="G58" i="5" l="1"/>
  <c r="G38" i="37"/>
  <c r="H39" i="37"/>
  <c r="G40" i="37"/>
  <c r="H28" i="2"/>
  <c r="G23" i="2" l="1"/>
  <c r="I17" i="10" l="1"/>
  <c r="G17" i="10" s="1"/>
  <c r="G21" i="53"/>
  <c r="G19" i="31"/>
  <c r="G21" i="79"/>
  <c r="G19" i="32"/>
  <c r="G21" i="9"/>
  <c r="G21" i="61"/>
  <c r="G21" i="66"/>
  <c r="G21" i="63"/>
  <c r="G19" i="64"/>
  <c r="G22" i="22"/>
  <c r="G22" i="39"/>
  <c r="G25" i="21"/>
  <c r="G21" i="20"/>
  <c r="G24" i="19"/>
  <c r="G26" i="65"/>
  <c r="G22" i="27"/>
  <c r="G19" i="28"/>
  <c r="G23" i="18"/>
  <c r="G23" i="15"/>
  <c r="G22" i="40"/>
  <c r="G22" i="13"/>
  <c r="G22" i="68"/>
  <c r="G22" i="11"/>
  <c r="G21" i="8"/>
  <c r="G21" i="54"/>
  <c r="G23" i="7"/>
  <c r="G21" i="71"/>
  <c r="G23" i="6"/>
  <c r="G22" i="5"/>
  <c r="G22" i="4"/>
  <c r="G20" i="17"/>
  <c r="G20" i="10"/>
  <c r="G20" i="24"/>
  <c r="I27" i="53"/>
  <c r="G27" i="53" s="1"/>
  <c r="I18" i="53"/>
  <c r="G18" i="53" s="1"/>
  <c r="I12" i="53"/>
  <c r="G12" i="53" s="1"/>
  <c r="I25" i="31"/>
  <c r="G25" i="31" s="1"/>
  <c r="I16" i="31"/>
  <c r="G16" i="31" s="1"/>
  <c r="I12" i="31"/>
  <c r="G12" i="31" s="1"/>
  <c r="I27" i="79"/>
  <c r="G27" i="79" s="1"/>
  <c r="I18" i="79"/>
  <c r="G18" i="79" s="1"/>
  <c r="I12" i="79"/>
  <c r="G12" i="79" s="1"/>
  <c r="I25" i="32"/>
  <c r="G25" i="32" s="1"/>
  <c r="I16" i="32"/>
  <c r="G16" i="32" s="1"/>
  <c r="I12" i="32"/>
  <c r="G12" i="32" s="1"/>
  <c r="I27" i="9"/>
  <c r="G27" i="9" s="1"/>
  <c r="I18" i="9"/>
  <c r="G18" i="9" s="1"/>
  <c r="I12" i="9"/>
  <c r="G12" i="9" s="1"/>
  <c r="I27" i="61"/>
  <c r="G27" i="61" s="1"/>
  <c r="I18" i="61"/>
  <c r="G18" i="61" s="1"/>
  <c r="I12" i="61"/>
  <c r="G12" i="61" s="1"/>
  <c r="I27" i="66"/>
  <c r="G27" i="66" s="1"/>
  <c r="I18" i="66"/>
  <c r="G18" i="66" s="1"/>
  <c r="I12" i="66"/>
  <c r="G12" i="66" s="1"/>
  <c r="I27" i="63"/>
  <c r="G27" i="63" s="1"/>
  <c r="I18" i="63"/>
  <c r="G18" i="63" s="1"/>
  <c r="I12" i="63"/>
  <c r="G12" i="63" s="1"/>
  <c r="I25" i="64"/>
  <c r="G25" i="64" s="1"/>
  <c r="I16" i="64"/>
  <c r="G16" i="64" s="1"/>
  <c r="I12" i="64"/>
  <c r="G12" i="64" s="1"/>
  <c r="I28" i="22"/>
  <c r="G28" i="22" s="1"/>
  <c r="I19" i="22"/>
  <c r="G19" i="22" s="1"/>
  <c r="I12" i="22"/>
  <c r="G12" i="22" s="1"/>
  <c r="J28" i="39"/>
  <c r="G28" i="39" s="1"/>
  <c r="J19" i="39"/>
  <c r="G19" i="39" s="1"/>
  <c r="J12" i="39"/>
  <c r="G12" i="39" s="1"/>
  <c r="I31" i="21"/>
  <c r="G31" i="21" s="1"/>
  <c r="I22" i="21"/>
  <c r="G22" i="21" s="1"/>
  <c r="I12" i="21"/>
  <c r="G12" i="21" s="1"/>
  <c r="I27" i="20"/>
  <c r="G27" i="20" s="1"/>
  <c r="I18" i="20"/>
  <c r="G18" i="20" s="1"/>
  <c r="I12" i="20"/>
  <c r="G12" i="20" s="1"/>
  <c r="I30" i="19"/>
  <c r="G30" i="19" s="1"/>
  <c r="I21" i="19"/>
  <c r="G21" i="19" s="1"/>
  <c r="I12" i="19"/>
  <c r="G12" i="19" s="1"/>
  <c r="I32" i="65"/>
  <c r="G32" i="65" s="1"/>
  <c r="I23" i="65"/>
  <c r="G23" i="65" s="1"/>
  <c r="I12" i="65"/>
  <c r="G12" i="65" s="1"/>
  <c r="I28" i="27"/>
  <c r="G28" i="27" s="1"/>
  <c r="I19" i="27"/>
  <c r="G19" i="27" s="1"/>
  <c r="I12" i="27"/>
  <c r="G12" i="27" s="1"/>
  <c r="I25" i="28"/>
  <c r="G25" i="28" s="1"/>
  <c r="I16" i="28"/>
  <c r="G16" i="28" s="1"/>
  <c r="I12" i="28"/>
  <c r="G12" i="28" s="1"/>
  <c r="I29" i="18"/>
  <c r="G29" i="18" s="1"/>
  <c r="I20" i="18"/>
  <c r="G20" i="18" s="1"/>
  <c r="I12" i="18"/>
  <c r="G12" i="18" s="1"/>
  <c r="I29" i="15"/>
  <c r="G29" i="15" s="1"/>
  <c r="I20" i="15"/>
  <c r="G20" i="15" s="1"/>
  <c r="I12" i="15"/>
  <c r="G12" i="15" s="1"/>
  <c r="I28" i="40"/>
  <c r="G28" i="40" s="1"/>
  <c r="I19" i="40"/>
  <c r="G19" i="40" s="1"/>
  <c r="I12" i="40"/>
  <c r="G12" i="40" s="1"/>
  <c r="I28" i="13"/>
  <c r="G28" i="13" s="1"/>
  <c r="I19" i="13"/>
  <c r="G19" i="13" s="1"/>
  <c r="I12" i="13"/>
  <c r="G12" i="13" s="1"/>
  <c r="I28" i="68"/>
  <c r="G28" i="68" s="1"/>
  <c r="I19" i="68"/>
  <c r="G19" i="68" s="1"/>
  <c r="I12" i="68"/>
  <c r="G12" i="68" s="1"/>
  <c r="I19" i="11"/>
  <c r="G19" i="11" s="1"/>
  <c r="I28" i="11"/>
  <c r="G28" i="11" s="1"/>
  <c r="I12" i="11"/>
  <c r="G12" i="11" s="1"/>
  <c r="I27" i="8"/>
  <c r="G27" i="8" s="1"/>
  <c r="I18" i="8"/>
  <c r="G18" i="8" s="1"/>
  <c r="I12" i="8"/>
  <c r="G12" i="8" s="1"/>
  <c r="I27" i="54"/>
  <c r="G27" i="54" s="1"/>
  <c r="I18" i="54"/>
  <c r="G18" i="54" s="1"/>
  <c r="I12" i="54"/>
  <c r="G12" i="54" s="1"/>
  <c r="I29" i="7"/>
  <c r="G29" i="7" s="1"/>
  <c r="I20" i="7"/>
  <c r="G20" i="7" s="1"/>
  <c r="I12" i="7"/>
  <c r="G12" i="7" s="1"/>
  <c r="I27" i="71"/>
  <c r="G27" i="71" s="1"/>
  <c r="I18" i="71"/>
  <c r="G18" i="71" s="1"/>
  <c r="I12" i="71"/>
  <c r="G12" i="71" s="1"/>
  <c r="J20" i="6"/>
  <c r="G20" i="6" s="1"/>
  <c r="J30" i="6"/>
  <c r="G30" i="6" s="1"/>
  <c r="J12" i="6"/>
  <c r="G12" i="6" s="1"/>
  <c r="I29" i="5"/>
  <c r="G29" i="5" s="1"/>
  <c r="I19" i="5"/>
  <c r="G19" i="5" s="1"/>
  <c r="I12" i="5"/>
  <c r="G12" i="5" s="1"/>
  <c r="I19" i="4"/>
  <c r="G19" i="4" s="1"/>
  <c r="I29" i="4"/>
  <c r="G29" i="4" s="1"/>
  <c r="I12" i="4"/>
  <c r="G12" i="4" s="1"/>
  <c r="I26" i="17"/>
  <c r="G26" i="17" s="1"/>
  <c r="I17" i="17"/>
  <c r="G17" i="17" s="1"/>
  <c r="I12" i="17"/>
  <c r="G12" i="17" s="1"/>
  <c r="I27" i="10"/>
  <c r="G27" i="10" s="1"/>
  <c r="I12" i="10"/>
  <c r="G12" i="10" s="1"/>
  <c r="I17" i="24"/>
  <c r="G17" i="24" s="1"/>
  <c r="I26" i="24"/>
  <c r="G26" i="24" s="1"/>
  <c r="I12" i="24"/>
  <c r="G12" i="24" s="1"/>
  <c r="F26" i="82"/>
  <c r="G73" i="4"/>
  <c r="G60" i="4"/>
  <c r="H41" i="51"/>
  <c r="H272" i="82" l="1"/>
  <c r="C53" i="53"/>
  <c r="D53" i="53"/>
  <c r="E53" i="53"/>
  <c r="F53" i="53"/>
  <c r="F41" i="82" l="1"/>
  <c r="G16" i="82" l="1"/>
  <c r="I43" i="82" l="1"/>
  <c r="F248" i="82"/>
  <c r="D292" i="82" l="1"/>
  <c r="E292" i="82"/>
  <c r="F292" i="82"/>
  <c r="C292" i="82"/>
  <c r="D248" i="82"/>
  <c r="E248" i="82"/>
  <c r="C248" i="82"/>
  <c r="D194" i="82"/>
  <c r="E194" i="82"/>
  <c r="F194" i="82"/>
  <c r="C194" i="82"/>
  <c r="D51" i="82"/>
  <c r="E51" i="82"/>
  <c r="F51" i="82"/>
  <c r="F333" i="82"/>
  <c r="E333" i="82"/>
  <c r="D333" i="82"/>
  <c r="C333" i="82"/>
  <c r="F322" i="82"/>
  <c r="E322" i="82"/>
  <c r="D322" i="82"/>
  <c r="C322" i="82"/>
  <c r="F314" i="82"/>
  <c r="E314" i="82"/>
  <c r="D314" i="82"/>
  <c r="C314" i="82"/>
  <c r="F308" i="82" l="1"/>
  <c r="E308" i="82"/>
  <c r="D308" i="82"/>
  <c r="C308" i="82"/>
  <c r="F304" i="82"/>
  <c r="E304" i="82"/>
  <c r="D304" i="82"/>
  <c r="C304" i="82"/>
  <c r="F204" i="82"/>
  <c r="E204" i="82"/>
  <c r="D204" i="82"/>
  <c r="C204" i="82"/>
  <c r="F172" i="82"/>
  <c r="E172" i="82"/>
  <c r="D172" i="82"/>
  <c r="C172" i="82"/>
  <c r="D143" i="82"/>
  <c r="E143" i="82"/>
  <c r="F143" i="82"/>
  <c r="F133" i="82"/>
  <c r="E133" i="82"/>
  <c r="D133" i="82"/>
  <c r="C133" i="82"/>
  <c r="F82" i="82"/>
  <c r="E82" i="82"/>
  <c r="D82" i="82"/>
  <c r="C82" i="82"/>
  <c r="C51" i="82"/>
  <c r="F391" i="82"/>
  <c r="E391" i="82"/>
  <c r="D391" i="82"/>
  <c r="C391" i="82"/>
  <c r="F388" i="82"/>
  <c r="G390" i="82" s="1"/>
  <c r="E388" i="82"/>
  <c r="D388" i="82"/>
  <c r="C388" i="82"/>
  <c r="F385" i="82"/>
  <c r="G387" i="82" s="1"/>
  <c r="D385" i="82"/>
  <c r="C385" i="82"/>
  <c r="E385" i="82"/>
  <c r="F382" i="82"/>
  <c r="G384" i="82" s="1"/>
  <c r="D382" i="82"/>
  <c r="C382" i="82"/>
  <c r="F371" i="82"/>
  <c r="G373" i="82" s="1"/>
  <c r="D371" i="82"/>
  <c r="C371" i="82"/>
  <c r="F367" i="82"/>
  <c r="D367" i="82"/>
  <c r="C367" i="82"/>
  <c r="G359" i="82"/>
  <c r="F338" i="82"/>
  <c r="G340" i="82" s="1"/>
  <c r="D338" i="82"/>
  <c r="C338" i="82"/>
  <c r="E338" i="82"/>
  <c r="I332" i="82"/>
  <c r="I329" i="82"/>
  <c r="I328" i="82"/>
  <c r="I326" i="82"/>
  <c r="F324" i="82"/>
  <c r="E324" i="82"/>
  <c r="D324" i="82"/>
  <c r="C324" i="82"/>
  <c r="I320" i="82"/>
  <c r="I319" i="82"/>
  <c r="I313" i="82"/>
  <c r="I312" i="82"/>
  <c r="G307" i="82"/>
  <c r="I301" i="82"/>
  <c r="I298" i="82"/>
  <c r="I297" i="82"/>
  <c r="G250" i="82"/>
  <c r="I252" i="82"/>
  <c r="I240" i="82"/>
  <c r="I224" i="82"/>
  <c r="I222" i="82"/>
  <c r="I223" i="82"/>
  <c r="I221" i="82"/>
  <c r="I217" i="82"/>
  <c r="I210" i="82"/>
  <c r="I203" i="82"/>
  <c r="I202" i="82"/>
  <c r="G201" i="82"/>
  <c r="I198" i="82"/>
  <c r="I191" i="82"/>
  <c r="I190" i="82"/>
  <c r="K189" i="82"/>
  <c r="K188" i="82"/>
  <c r="K187" i="82"/>
  <c r="K186" i="82"/>
  <c r="I185" i="82"/>
  <c r="K184" i="82"/>
  <c r="K183" i="82"/>
  <c r="K177" i="82"/>
  <c r="K175" i="82"/>
  <c r="K174" i="82"/>
  <c r="H172" i="82"/>
  <c r="I163" i="82"/>
  <c r="I162" i="82"/>
  <c r="I153" i="82"/>
  <c r="I150" i="82"/>
  <c r="I148" i="82"/>
  <c r="G147" i="82"/>
  <c r="I147" i="82"/>
  <c r="H143" i="82"/>
  <c r="C143" i="82"/>
  <c r="I91" i="82"/>
  <c r="I90" i="82"/>
  <c r="I89" i="82"/>
  <c r="I88" i="82"/>
  <c r="I87" i="82"/>
  <c r="I86" i="82"/>
  <c r="I85" i="82"/>
  <c r="I84" i="82"/>
  <c r="G82" i="82"/>
  <c r="I81" i="82"/>
  <c r="G61" i="82"/>
  <c r="G51" i="82"/>
  <c r="I31" i="82"/>
  <c r="I30" i="82"/>
  <c r="I29" i="82"/>
  <c r="I28" i="82"/>
  <c r="I27" i="82"/>
  <c r="I26" i="82"/>
  <c r="I24" i="82"/>
  <c r="I22" i="82"/>
  <c r="I21" i="82"/>
  <c r="G17" i="82"/>
  <c r="I15" i="82"/>
  <c r="I14" i="82"/>
  <c r="E371" i="82" l="1"/>
  <c r="F144" i="82"/>
  <c r="D144" i="82"/>
  <c r="I143" i="82"/>
  <c r="G196" i="82"/>
  <c r="C144" i="82"/>
  <c r="E367" i="82"/>
  <c r="H51" i="82"/>
  <c r="E382" i="82"/>
  <c r="G206" i="82"/>
  <c r="I206" i="82" s="1"/>
  <c r="I209" i="82"/>
  <c r="I12" i="82"/>
  <c r="G28" i="2"/>
  <c r="G48" i="53"/>
  <c r="E42" i="53"/>
  <c r="E34" i="61"/>
  <c r="E33" i="61"/>
  <c r="E38" i="63"/>
  <c r="E38" i="64"/>
  <c r="G62" i="21"/>
  <c r="H86" i="19"/>
  <c r="E54" i="19"/>
  <c r="E78" i="65"/>
  <c r="E77" i="65"/>
  <c r="E76" i="65"/>
  <c r="E75" i="65"/>
  <c r="E74" i="65"/>
  <c r="E73" i="65"/>
  <c r="E51" i="65"/>
  <c r="E19" i="15"/>
  <c r="E43" i="11"/>
  <c r="G45" i="8"/>
  <c r="H73" i="4"/>
  <c r="E43" i="17"/>
  <c r="E45" i="17"/>
  <c r="E39" i="17"/>
  <c r="E40" i="10"/>
  <c r="H69" i="19"/>
  <c r="E58" i="19"/>
  <c r="H67" i="19"/>
  <c r="H69" i="65"/>
  <c r="E19" i="6"/>
  <c r="E144" i="82" l="1"/>
  <c r="F293" i="82"/>
  <c r="G296" i="82" s="1"/>
  <c r="C293" i="82"/>
  <c r="C334" i="82" s="1"/>
  <c r="C392" i="82" s="1"/>
  <c r="D293" i="82"/>
  <c r="D334" i="82" s="1"/>
  <c r="D392" i="82" s="1"/>
  <c r="C61" i="22"/>
  <c r="D61" i="22"/>
  <c r="F61" i="22"/>
  <c r="G61" i="22"/>
  <c r="F334" i="82" l="1"/>
  <c r="F392" i="82" s="1"/>
  <c r="E293" i="82"/>
  <c r="E334" i="82" s="1"/>
  <c r="E392" i="82" s="1"/>
  <c r="H394" i="82" s="1"/>
  <c r="E52" i="2"/>
  <c r="H43" i="51" l="1"/>
  <c r="G393" i="82" l="1"/>
  <c r="H40" i="51"/>
  <c r="G47" i="7" l="1"/>
  <c r="G44" i="39" l="1"/>
  <c r="I54" i="20"/>
  <c r="H80" i="65"/>
  <c r="H70" i="65"/>
  <c r="E42" i="79" l="1"/>
  <c r="E40" i="79"/>
  <c r="E38" i="79"/>
  <c r="E37" i="79"/>
  <c r="E29" i="79"/>
  <c r="E28" i="79"/>
  <c r="E27" i="79"/>
  <c r="E24" i="79"/>
  <c r="E23" i="79"/>
  <c r="E22" i="79"/>
  <c r="E21" i="79"/>
  <c r="E19" i="79"/>
  <c r="E18" i="79"/>
  <c r="E17" i="79"/>
  <c r="E16" i="79"/>
  <c r="E15" i="79"/>
  <c r="E14" i="79"/>
  <c r="E12" i="79"/>
  <c r="E41" i="66"/>
  <c r="E36" i="66"/>
  <c r="E40" i="64" l="1"/>
  <c r="E41" i="39"/>
  <c r="E58" i="21"/>
  <c r="E57" i="21"/>
  <c r="E61" i="20"/>
  <c r="E58" i="20"/>
  <c r="E52" i="20"/>
  <c r="E51" i="20"/>
  <c r="E50" i="20"/>
  <c r="E49" i="20"/>
  <c r="E48" i="20"/>
  <c r="E41" i="20"/>
  <c r="E42" i="20"/>
  <c r="E81" i="19"/>
  <c r="E80" i="19"/>
  <c r="E76" i="19"/>
  <c r="E75" i="19"/>
  <c r="E74" i="19"/>
  <c r="E73" i="19"/>
  <c r="E72" i="19"/>
  <c r="E53" i="15"/>
  <c r="E48" i="15"/>
  <c r="D80" i="68"/>
  <c r="E42" i="10"/>
  <c r="E37" i="24"/>
  <c r="C22" i="30" l="1"/>
  <c r="D22" i="30"/>
  <c r="F22" i="30"/>
  <c r="G22" i="30"/>
  <c r="C48" i="53"/>
  <c r="D48" i="53"/>
  <c r="F48" i="53"/>
  <c r="F36" i="31"/>
  <c r="E36" i="31"/>
  <c r="D36" i="31"/>
  <c r="G36" i="31"/>
  <c r="C43" i="79"/>
  <c r="D43" i="79"/>
  <c r="E43" i="79"/>
  <c r="F43" i="79"/>
  <c r="G43" i="79"/>
  <c r="C43" i="9"/>
  <c r="D43" i="9"/>
  <c r="F43" i="9"/>
  <c r="G43" i="9"/>
  <c r="C39" i="61"/>
  <c r="D39" i="61"/>
  <c r="F39" i="61"/>
  <c r="G39" i="61"/>
  <c r="C46" i="66"/>
  <c r="D46" i="66"/>
  <c r="F46" i="66"/>
  <c r="G46" i="66"/>
  <c r="C41" i="63"/>
  <c r="D41" i="63"/>
  <c r="F41" i="63"/>
  <c r="G41" i="63"/>
  <c r="F22" i="16"/>
  <c r="D22" i="16"/>
  <c r="C22" i="16"/>
  <c r="G22" i="16"/>
  <c r="C43" i="64"/>
  <c r="D43" i="64"/>
  <c r="F43" i="64"/>
  <c r="G43" i="64"/>
  <c r="C55" i="22"/>
  <c r="D55" i="22"/>
  <c r="F55" i="22"/>
  <c r="G55" i="22"/>
  <c r="C44" i="39"/>
  <c r="D44" i="39"/>
  <c r="F44" i="39"/>
  <c r="C47" i="27"/>
  <c r="D47" i="27"/>
  <c r="F47" i="27"/>
  <c r="G47" i="27"/>
  <c r="C42" i="28"/>
  <c r="D42" i="28"/>
  <c r="F42" i="28"/>
  <c r="G42" i="28"/>
  <c r="C53" i="18"/>
  <c r="D53" i="18"/>
  <c r="F53" i="18"/>
  <c r="G53" i="18"/>
  <c r="C54" i="15"/>
  <c r="D54" i="15"/>
  <c r="F54" i="15"/>
  <c r="G54" i="15"/>
  <c r="C46" i="40"/>
  <c r="D46" i="40"/>
  <c r="F46" i="40"/>
  <c r="G46" i="40"/>
  <c r="C47" i="13"/>
  <c r="D47" i="13"/>
  <c r="F47" i="13"/>
  <c r="G47" i="13"/>
  <c r="C66" i="68"/>
  <c r="D66" i="68"/>
  <c r="F66" i="68"/>
  <c r="G66" i="68"/>
  <c r="C48" i="11"/>
  <c r="D48" i="11"/>
  <c r="F48" i="11"/>
  <c r="G48" i="11"/>
  <c r="C45" i="8"/>
  <c r="D45" i="8"/>
  <c r="F45" i="8"/>
  <c r="C43" i="54"/>
  <c r="D43" i="54"/>
  <c r="F43" i="54"/>
  <c r="G43" i="54"/>
  <c r="C47" i="7"/>
  <c r="D47" i="7"/>
  <c r="F47" i="7"/>
  <c r="C45" i="71"/>
  <c r="D45" i="71"/>
  <c r="F45" i="71"/>
  <c r="G45" i="71"/>
  <c r="C47" i="17"/>
  <c r="D47" i="17"/>
  <c r="F47" i="17"/>
  <c r="G47" i="17"/>
  <c r="C45" i="10"/>
  <c r="D45" i="10"/>
  <c r="F45" i="10"/>
  <c r="G45" i="10"/>
  <c r="D42" i="24"/>
  <c r="F42" i="24"/>
  <c r="G42" i="24"/>
  <c r="C89" i="2"/>
  <c r="D89" i="2"/>
  <c r="F89" i="2"/>
  <c r="G62" i="2" l="1"/>
  <c r="G89" i="2" s="1"/>
  <c r="G14" i="68"/>
  <c r="G15" i="68"/>
  <c r="G16" i="68"/>
  <c r="G17" i="68"/>
  <c r="G20" i="68"/>
  <c r="G23" i="68"/>
  <c r="G24" i="68"/>
  <c r="G25" i="68"/>
  <c r="G29" i="68"/>
  <c r="G30" i="68"/>
  <c r="G35" i="68" l="1"/>
  <c r="E48" i="2"/>
  <c r="G81" i="65" l="1"/>
  <c r="J40" i="51" l="1"/>
  <c r="A12" i="65"/>
  <c r="C4" i="51"/>
  <c r="H12" i="72"/>
  <c r="G92" i="2" l="1"/>
  <c r="J50" i="5"/>
  <c r="G65" i="5"/>
  <c r="J58" i="5"/>
  <c r="G87" i="6"/>
  <c r="G63" i="6"/>
  <c r="G80" i="68"/>
  <c r="K66" i="68" l="1"/>
  <c r="I47" i="17"/>
  <c r="I47" i="13"/>
  <c r="G48" i="40"/>
  <c r="G60" i="15"/>
  <c r="G58" i="15"/>
  <c r="G55" i="18"/>
  <c r="G44" i="28"/>
  <c r="G49" i="27"/>
  <c r="G62" i="20"/>
  <c r="G64" i="21"/>
  <c r="G46" i="39"/>
  <c r="G45" i="64"/>
  <c r="G24" i="16"/>
  <c r="G11" i="16"/>
  <c r="G43" i="63"/>
  <c r="G48" i="66"/>
  <c r="G41" i="61"/>
  <c r="G35" i="32"/>
  <c r="G45" i="79"/>
  <c r="G38" i="31"/>
  <c r="G53" i="53"/>
  <c r="G24" i="30"/>
  <c r="G11" i="30"/>
  <c r="G87" i="19"/>
  <c r="F89" i="19"/>
  <c r="E89" i="19"/>
  <c r="D89" i="19"/>
  <c r="C89" i="19"/>
  <c r="I55" i="22" l="1"/>
  <c r="H89" i="19"/>
  <c r="I81" i="65"/>
  <c r="G47" i="71" l="1"/>
  <c r="G54" i="20" l="1"/>
  <c r="H54" i="20" s="1"/>
  <c r="C87" i="6"/>
  <c r="D87" i="6"/>
  <c r="F87" i="6"/>
  <c r="G49" i="17"/>
  <c r="G27" i="31" l="1"/>
  <c r="G26" i="31"/>
  <c r="G22" i="10"/>
  <c r="G14" i="2"/>
  <c r="I12" i="2" l="1"/>
  <c r="I30" i="2"/>
  <c r="G30" i="2" s="1"/>
  <c r="I20" i="2"/>
  <c r="G20" i="2" s="1"/>
  <c r="G12" i="2"/>
  <c r="I62" i="51"/>
  <c r="F87" i="19" l="1"/>
  <c r="F81" i="65"/>
  <c r="D81" i="65"/>
  <c r="C81" i="65"/>
  <c r="F54" i="20"/>
  <c r="D54" i="20"/>
  <c r="C54" i="20"/>
  <c r="F45" i="79" l="1"/>
  <c r="F34" i="79"/>
  <c r="F46" i="79" l="1"/>
  <c r="E40" i="2"/>
  <c r="H16" i="65" l="1"/>
  <c r="H15" i="65"/>
  <c r="H16" i="18"/>
  <c r="H15" i="18"/>
  <c r="H16" i="66"/>
  <c r="H15" i="66"/>
  <c r="H16" i="22"/>
  <c r="H15" i="22"/>
  <c r="I418" i="80" l="1"/>
  <c r="G415" i="80"/>
  <c r="F415" i="80"/>
  <c r="E415" i="80"/>
  <c r="D415" i="80"/>
  <c r="C415" i="80"/>
  <c r="G412" i="80"/>
  <c r="H412" i="80" s="1"/>
  <c r="F412" i="80"/>
  <c r="E412" i="80"/>
  <c r="D412" i="80"/>
  <c r="C412" i="80"/>
  <c r="G409" i="80"/>
  <c r="H409" i="80" s="1"/>
  <c r="F409" i="80"/>
  <c r="D409" i="80"/>
  <c r="C409" i="80"/>
  <c r="E408" i="80"/>
  <c r="E409" i="80" s="1"/>
  <c r="G406" i="80"/>
  <c r="H406" i="80" s="1"/>
  <c r="F406" i="80"/>
  <c r="D406" i="80"/>
  <c r="C406" i="80"/>
  <c r="E403" i="80"/>
  <c r="E402" i="80"/>
  <c r="E401" i="80"/>
  <c r="E400" i="80"/>
  <c r="E399" i="80"/>
  <c r="E398" i="80"/>
  <c r="G395" i="80"/>
  <c r="H395" i="80" s="1"/>
  <c r="F395" i="80"/>
  <c r="D395" i="80"/>
  <c r="C395" i="80"/>
  <c r="E394" i="80"/>
  <c r="E393" i="80"/>
  <c r="G390" i="80"/>
  <c r="H390" i="80" s="1"/>
  <c r="F390" i="80"/>
  <c r="D390" i="80"/>
  <c r="C390" i="80"/>
  <c r="E389" i="80"/>
  <c r="E388" i="80"/>
  <c r="E386" i="80"/>
  <c r="E385" i="80"/>
  <c r="E384" i="80"/>
  <c r="E383" i="80"/>
  <c r="E382" i="80"/>
  <c r="E381" i="80"/>
  <c r="E380" i="80"/>
  <c r="E372" i="80"/>
  <c r="E371" i="80"/>
  <c r="E370" i="80"/>
  <c r="E369" i="80"/>
  <c r="G365" i="80"/>
  <c r="H365" i="80" s="1"/>
  <c r="F365" i="80"/>
  <c r="D365" i="80"/>
  <c r="C365" i="80"/>
  <c r="E363" i="80"/>
  <c r="E365" i="80" s="1"/>
  <c r="G358" i="80"/>
  <c r="F358" i="80"/>
  <c r="E358" i="80"/>
  <c r="D358" i="80"/>
  <c r="C358" i="80"/>
  <c r="J354" i="80"/>
  <c r="J353" i="80"/>
  <c r="H352" i="80"/>
  <c r="G351" i="80"/>
  <c r="F351" i="80"/>
  <c r="E351" i="80"/>
  <c r="D351" i="80"/>
  <c r="C351" i="80"/>
  <c r="J350" i="80"/>
  <c r="H349" i="80"/>
  <c r="G346" i="80"/>
  <c r="F346" i="80"/>
  <c r="E346" i="80"/>
  <c r="D346" i="80"/>
  <c r="C346" i="80"/>
  <c r="J343" i="80"/>
  <c r="J342" i="80"/>
  <c r="H341" i="80"/>
  <c r="G340" i="80"/>
  <c r="F340" i="80"/>
  <c r="D340" i="80"/>
  <c r="C340" i="80"/>
  <c r="E339" i="80"/>
  <c r="E340" i="80" s="1"/>
  <c r="G337" i="80"/>
  <c r="F337" i="80"/>
  <c r="E337" i="80"/>
  <c r="D337" i="80"/>
  <c r="C337" i="80"/>
  <c r="J333" i="80"/>
  <c r="J332" i="80"/>
  <c r="H331" i="80"/>
  <c r="G330" i="80"/>
  <c r="F330" i="80"/>
  <c r="D330" i="80"/>
  <c r="C330" i="80"/>
  <c r="E329" i="80"/>
  <c r="E330" i="80" s="1"/>
  <c r="G327" i="80"/>
  <c r="F327" i="80"/>
  <c r="E327" i="80"/>
  <c r="D327" i="80"/>
  <c r="C327" i="80"/>
  <c r="J322" i="80"/>
  <c r="J321" i="80"/>
  <c r="G319" i="80"/>
  <c r="F319" i="80"/>
  <c r="D319" i="80"/>
  <c r="C319" i="80"/>
  <c r="E318" i="80"/>
  <c r="J318" i="80" s="1"/>
  <c r="E317" i="80"/>
  <c r="J317" i="80" s="1"/>
  <c r="J316" i="80"/>
  <c r="E315" i="80"/>
  <c r="J312" i="80"/>
  <c r="G310" i="80"/>
  <c r="F310" i="80"/>
  <c r="D310" i="80"/>
  <c r="C310" i="80"/>
  <c r="E308" i="80"/>
  <c r="E306" i="80"/>
  <c r="E305" i="80"/>
  <c r="E304" i="80"/>
  <c r="G288" i="80"/>
  <c r="I288" i="80" s="1"/>
  <c r="F288" i="80"/>
  <c r="D288" i="80"/>
  <c r="C288" i="80"/>
  <c r="E287" i="80"/>
  <c r="E286" i="80"/>
  <c r="E285" i="80"/>
  <c r="E284" i="80"/>
  <c r="E283" i="80"/>
  <c r="E280" i="80"/>
  <c r="E279" i="80"/>
  <c r="E278" i="80"/>
  <c r="E277" i="80"/>
  <c r="E275" i="80"/>
  <c r="E274" i="80"/>
  <c r="E269" i="80"/>
  <c r="E268" i="80"/>
  <c r="E267" i="80"/>
  <c r="E266" i="80"/>
  <c r="E265" i="80"/>
  <c r="J265" i="80" s="1"/>
  <c r="G262" i="80"/>
  <c r="F262" i="80"/>
  <c r="D262" i="80"/>
  <c r="C262" i="80"/>
  <c r="E260" i="80"/>
  <c r="E259" i="80"/>
  <c r="E258" i="80"/>
  <c r="E257" i="80"/>
  <c r="E256" i="80"/>
  <c r="E255" i="80"/>
  <c r="E254" i="80"/>
  <c r="J250" i="80"/>
  <c r="G248" i="80"/>
  <c r="I248" i="80" s="1"/>
  <c r="F248" i="80"/>
  <c r="D248" i="80"/>
  <c r="C248" i="80"/>
  <c r="E247" i="80"/>
  <c r="E246" i="80"/>
  <c r="E245" i="80"/>
  <c r="E244" i="80"/>
  <c r="E243" i="80"/>
  <c r="E242" i="80"/>
  <c r="E236" i="80"/>
  <c r="E230" i="80"/>
  <c r="E229" i="80"/>
  <c r="J228" i="80"/>
  <c r="E227" i="80"/>
  <c r="J227" i="80" s="1"/>
  <c r="J226" i="80"/>
  <c r="E225" i="80"/>
  <c r="J225" i="80" s="1"/>
  <c r="E223" i="80"/>
  <c r="J223" i="80" s="1"/>
  <c r="E222" i="80"/>
  <c r="E221" i="80"/>
  <c r="E220" i="80"/>
  <c r="E219" i="80"/>
  <c r="E218" i="80"/>
  <c r="E217" i="80"/>
  <c r="E216" i="80"/>
  <c r="J215" i="80"/>
  <c r="E214" i="80"/>
  <c r="J214" i="80" s="1"/>
  <c r="G209" i="80"/>
  <c r="F209" i="80"/>
  <c r="E209" i="80"/>
  <c r="D209" i="80"/>
  <c r="C209" i="80"/>
  <c r="J206" i="80"/>
  <c r="J205" i="80"/>
  <c r="G203" i="80"/>
  <c r="F203" i="80"/>
  <c r="D203" i="80"/>
  <c r="C203" i="80"/>
  <c r="E201" i="80"/>
  <c r="J201" i="80" s="1"/>
  <c r="J200" i="80"/>
  <c r="E198" i="80"/>
  <c r="E197" i="80"/>
  <c r="E196" i="80"/>
  <c r="J195" i="80"/>
  <c r="E195" i="80"/>
  <c r="G192" i="80"/>
  <c r="F192" i="80"/>
  <c r="E192" i="80"/>
  <c r="D192" i="80"/>
  <c r="C192" i="80"/>
  <c r="J190" i="80"/>
  <c r="J189" i="80"/>
  <c r="G187" i="80"/>
  <c r="H187" i="80" s="1"/>
  <c r="H188" i="80" s="1"/>
  <c r="F187" i="80"/>
  <c r="D187" i="80"/>
  <c r="C187" i="80"/>
  <c r="E186" i="80"/>
  <c r="L185" i="80"/>
  <c r="L184" i="80"/>
  <c r="E184" i="80"/>
  <c r="L183" i="80"/>
  <c r="E183" i="80"/>
  <c r="E182" i="80"/>
  <c r="J182" i="80" s="1"/>
  <c r="L181" i="80"/>
  <c r="E181" i="80"/>
  <c r="L180" i="80"/>
  <c r="E180" i="80"/>
  <c r="G177" i="80"/>
  <c r="F177" i="80"/>
  <c r="D177" i="80"/>
  <c r="C177" i="80"/>
  <c r="E171" i="80"/>
  <c r="E170" i="80"/>
  <c r="G166" i="80"/>
  <c r="F166" i="80"/>
  <c r="D166" i="80"/>
  <c r="C166" i="80"/>
  <c r="L165" i="80"/>
  <c r="E165" i="80"/>
  <c r="E164" i="80"/>
  <c r="L163" i="80"/>
  <c r="L162" i="80"/>
  <c r="E162" i="80"/>
  <c r="G158" i="80"/>
  <c r="F158" i="80"/>
  <c r="E158" i="80"/>
  <c r="D158" i="80"/>
  <c r="C158" i="80"/>
  <c r="J150" i="80"/>
  <c r="J149" i="80"/>
  <c r="G147" i="80"/>
  <c r="F147" i="80"/>
  <c r="D147" i="80"/>
  <c r="C147" i="80"/>
  <c r="E145" i="80"/>
  <c r="E144" i="80"/>
  <c r="E143" i="80"/>
  <c r="E142" i="80"/>
  <c r="E140" i="80"/>
  <c r="E138" i="80"/>
  <c r="J137" i="80"/>
  <c r="E136" i="80"/>
  <c r="E135" i="80"/>
  <c r="J134" i="80"/>
  <c r="J132" i="80"/>
  <c r="H130" i="80"/>
  <c r="E130" i="80"/>
  <c r="J130" i="80" s="1"/>
  <c r="G126" i="80"/>
  <c r="H126" i="80" s="1"/>
  <c r="F126" i="80"/>
  <c r="D126" i="80"/>
  <c r="C126" i="80"/>
  <c r="E115" i="80"/>
  <c r="E114" i="80"/>
  <c r="G106" i="80"/>
  <c r="F106" i="80"/>
  <c r="D106" i="80"/>
  <c r="C106" i="80"/>
  <c r="E101" i="80"/>
  <c r="E99" i="80"/>
  <c r="E98" i="80"/>
  <c r="E97" i="80"/>
  <c r="E95" i="80"/>
  <c r="J94" i="80"/>
  <c r="J93" i="80"/>
  <c r="E92" i="80"/>
  <c r="J92" i="80" s="1"/>
  <c r="E91" i="80"/>
  <c r="J91" i="80" s="1"/>
  <c r="E90" i="80"/>
  <c r="J90" i="80" s="1"/>
  <c r="J89" i="80"/>
  <c r="E88" i="80"/>
  <c r="J88" i="80" s="1"/>
  <c r="E87" i="80"/>
  <c r="J87" i="80" s="1"/>
  <c r="E86" i="80"/>
  <c r="J86" i="80" s="1"/>
  <c r="G82" i="80"/>
  <c r="F82" i="80"/>
  <c r="E82" i="80"/>
  <c r="D82" i="80"/>
  <c r="C82" i="80"/>
  <c r="J79" i="80"/>
  <c r="G73" i="80"/>
  <c r="F73" i="80"/>
  <c r="D73" i="80"/>
  <c r="C73" i="80"/>
  <c r="E71" i="80"/>
  <c r="E70" i="80"/>
  <c r="E69" i="80"/>
  <c r="E65" i="80"/>
  <c r="E64" i="80"/>
  <c r="E63" i="80"/>
  <c r="E57" i="80"/>
  <c r="J57" i="80" s="1"/>
  <c r="G52" i="80"/>
  <c r="F52" i="80"/>
  <c r="D52" i="80"/>
  <c r="C52" i="80"/>
  <c r="E50" i="80"/>
  <c r="E44" i="80"/>
  <c r="E43" i="80"/>
  <c r="E42" i="80"/>
  <c r="E41" i="80"/>
  <c r="E40" i="80"/>
  <c r="E38" i="80"/>
  <c r="E36" i="80"/>
  <c r="E35" i="80"/>
  <c r="G28" i="80"/>
  <c r="F28" i="80"/>
  <c r="D28" i="80"/>
  <c r="C28" i="80"/>
  <c r="E25" i="80"/>
  <c r="J25" i="80" s="1"/>
  <c r="E24" i="80"/>
  <c r="J24" i="80" s="1"/>
  <c r="J23" i="80"/>
  <c r="J22" i="80"/>
  <c r="E21" i="80"/>
  <c r="J21" i="80" s="1"/>
  <c r="E20" i="80"/>
  <c r="J20" i="80" s="1"/>
  <c r="E19" i="80"/>
  <c r="J18" i="80"/>
  <c r="E17" i="80"/>
  <c r="J17" i="80" s="1"/>
  <c r="E16" i="80"/>
  <c r="J16" i="80" s="1"/>
  <c r="E15" i="80"/>
  <c r="J15" i="80" s="1"/>
  <c r="E14" i="80"/>
  <c r="J14" i="80" s="1"/>
  <c r="E13" i="80"/>
  <c r="J13" i="80" s="1"/>
  <c r="G23" i="53"/>
  <c r="G21" i="31"/>
  <c r="G23" i="79"/>
  <c r="G21" i="32"/>
  <c r="G23" i="9"/>
  <c r="G23" i="61"/>
  <c r="G23" i="66"/>
  <c r="G23" i="63"/>
  <c r="G21" i="64"/>
  <c r="G27" i="64"/>
  <c r="G26" i="64"/>
  <c r="G22" i="64"/>
  <c r="G20" i="64"/>
  <c r="G17" i="64"/>
  <c r="G15" i="64"/>
  <c r="G14" i="64"/>
  <c r="C311" i="80" l="1"/>
  <c r="E177" i="80"/>
  <c r="F347" i="80"/>
  <c r="D359" i="80"/>
  <c r="E359" i="80"/>
  <c r="G359" i="80"/>
  <c r="D83" i="80"/>
  <c r="F263" i="80"/>
  <c r="C83" i="80"/>
  <c r="E166" i="80"/>
  <c r="G127" i="80"/>
  <c r="C193" i="80"/>
  <c r="F159" i="80"/>
  <c r="G159" i="80"/>
  <c r="H159" i="80" s="1"/>
  <c r="D328" i="80"/>
  <c r="C347" i="80"/>
  <c r="C263" i="80"/>
  <c r="D338" i="80"/>
  <c r="E395" i="80"/>
  <c r="E406" i="80"/>
  <c r="G53" i="80"/>
  <c r="F83" i="80"/>
  <c r="D127" i="80"/>
  <c r="F338" i="80"/>
  <c r="G83" i="80"/>
  <c r="F127" i="80"/>
  <c r="D210" i="80"/>
  <c r="C359" i="80"/>
  <c r="E147" i="80"/>
  <c r="E159" i="80" s="1"/>
  <c r="E203" i="80"/>
  <c r="E210" i="80" s="1"/>
  <c r="F210" i="80"/>
  <c r="G311" i="80"/>
  <c r="C53" i="80"/>
  <c r="E126" i="80"/>
  <c r="E310" i="80"/>
  <c r="G263" i="80"/>
  <c r="D193" i="80"/>
  <c r="F193" i="80"/>
  <c r="E338" i="80"/>
  <c r="E187" i="80"/>
  <c r="E262" i="80"/>
  <c r="C328" i="80"/>
  <c r="E347" i="80"/>
  <c r="D53" i="80"/>
  <c r="F53" i="80"/>
  <c r="F328" i="80"/>
  <c r="D347" i="80"/>
  <c r="E52" i="80"/>
  <c r="C127" i="80"/>
  <c r="E288" i="80"/>
  <c r="D311" i="80"/>
  <c r="G328" i="80"/>
  <c r="G338" i="80"/>
  <c r="C159" i="80"/>
  <c r="C210" i="80"/>
  <c r="E248" i="80"/>
  <c r="G347" i="80"/>
  <c r="E390" i="80"/>
  <c r="D159" i="80"/>
  <c r="G193" i="80"/>
  <c r="H193" i="80" s="1"/>
  <c r="G210" i="80"/>
  <c r="H210" i="80" s="1"/>
  <c r="J210" i="80" s="1"/>
  <c r="F311" i="80"/>
  <c r="C338" i="80"/>
  <c r="H203" i="80"/>
  <c r="H204" i="80" s="1"/>
  <c r="D263" i="80"/>
  <c r="E319" i="80"/>
  <c r="E328" i="80" s="1"/>
  <c r="F359" i="80"/>
  <c r="J315" i="80"/>
  <c r="E73" i="80"/>
  <c r="E83" i="80" s="1"/>
  <c r="E106" i="80"/>
  <c r="I106" i="80"/>
  <c r="E28" i="80"/>
  <c r="C312" i="80" l="1"/>
  <c r="G32" i="64"/>
  <c r="D312" i="80"/>
  <c r="D360" i="80" s="1"/>
  <c r="D416" i="80" s="1"/>
  <c r="D419" i="80" s="1"/>
  <c r="E193" i="80"/>
  <c r="E127" i="80"/>
  <c r="F312" i="80"/>
  <c r="F360" i="80" s="1"/>
  <c r="F416" i="80" s="1"/>
  <c r="F419" i="80" s="1"/>
  <c r="G312" i="80"/>
  <c r="H312" i="80" s="1"/>
  <c r="H314" i="80" s="1"/>
  <c r="E311" i="80"/>
  <c r="E263" i="80"/>
  <c r="C360" i="80"/>
  <c r="C416" i="80" s="1"/>
  <c r="C419" i="80" s="1"/>
  <c r="E53" i="80"/>
  <c r="G24" i="22"/>
  <c r="G24" i="39"/>
  <c r="G27" i="21"/>
  <c r="G23" i="20"/>
  <c r="G26" i="19"/>
  <c r="G28" i="65"/>
  <c r="G24" i="27"/>
  <c r="G21" i="28"/>
  <c r="G25" i="18"/>
  <c r="G31" i="18"/>
  <c r="G30" i="18"/>
  <c r="G26" i="18"/>
  <c r="G24" i="18"/>
  <c r="G21" i="18"/>
  <c r="G17" i="18"/>
  <c r="G16" i="18"/>
  <c r="G15" i="18"/>
  <c r="G14" i="18"/>
  <c r="E312" i="80" l="1"/>
  <c r="E360" i="80" s="1"/>
  <c r="E416" i="80" s="1"/>
  <c r="E419" i="80" s="1"/>
  <c r="I312" i="80"/>
  <c r="G360" i="80"/>
  <c r="G416" i="80" s="1"/>
  <c r="G419" i="80" s="1"/>
  <c r="G36" i="18" l="1"/>
  <c r="I416" i="80"/>
  <c r="H419" i="80"/>
  <c r="I360" i="80"/>
  <c r="H416" i="80"/>
  <c r="G25" i="15"/>
  <c r="G24" i="40"/>
  <c r="G24" i="13"/>
  <c r="G24" i="11"/>
  <c r="G23" i="8"/>
  <c r="G23" i="54"/>
  <c r="G25" i="7"/>
  <c r="G23" i="71"/>
  <c r="G25" i="6"/>
  <c r="G24" i="5"/>
  <c r="G24" i="4"/>
  <c r="G22" i="17"/>
  <c r="G22" i="24"/>
  <c r="G25" i="2"/>
  <c r="C45" i="62"/>
  <c r="D45" i="62"/>
  <c r="E45" i="62"/>
  <c r="F45" i="62"/>
  <c r="G45" i="62"/>
  <c r="C39" i="62"/>
  <c r="D39" i="62"/>
  <c r="E39" i="62"/>
  <c r="F39" i="62"/>
  <c r="G39" i="62"/>
  <c r="C34" i="62"/>
  <c r="D34" i="62"/>
  <c r="E34" i="62"/>
  <c r="F34" i="62"/>
  <c r="G34" i="62"/>
  <c r="C24" i="62"/>
  <c r="D24" i="62"/>
  <c r="E24" i="62"/>
  <c r="F24" i="62"/>
  <c r="G24" i="62"/>
  <c r="C61" i="5" l="1"/>
  <c r="D34" i="53"/>
  <c r="F34" i="53"/>
  <c r="C34" i="53"/>
  <c r="D34" i="54"/>
  <c r="F34" i="54"/>
  <c r="C34" i="54"/>
  <c r="E30" i="54"/>
  <c r="E12" i="31"/>
  <c r="E14" i="31"/>
  <c r="E15" i="31"/>
  <c r="E16" i="31"/>
  <c r="E17" i="31"/>
  <c r="E19" i="31"/>
  <c r="E20" i="31"/>
  <c r="E21" i="31"/>
  <c r="E22" i="31"/>
  <c r="E25" i="31"/>
  <c r="E26" i="31"/>
  <c r="E27" i="31"/>
  <c r="G14" i="79"/>
  <c r="G15" i="79"/>
  <c r="G16" i="79"/>
  <c r="G17" i="79"/>
  <c r="G19" i="79"/>
  <c r="G22" i="79"/>
  <c r="G24" i="79"/>
  <c r="G28" i="79"/>
  <c r="G29" i="79"/>
  <c r="E38" i="39"/>
  <c r="E40" i="39"/>
  <c r="G14" i="20"/>
  <c r="G15" i="20"/>
  <c r="G16" i="20"/>
  <c r="G17" i="20"/>
  <c r="G19" i="20"/>
  <c r="G22" i="20"/>
  <c r="G24" i="20"/>
  <c r="G28" i="20"/>
  <c r="G29" i="20"/>
  <c r="E69" i="68"/>
  <c r="E70" i="68"/>
  <c r="E71" i="68"/>
  <c r="E72" i="68"/>
  <c r="E73" i="68"/>
  <c r="E75" i="68"/>
  <c r="E77" i="68"/>
  <c r="E79" i="68"/>
  <c r="G14" i="71"/>
  <c r="G15" i="71"/>
  <c r="G16" i="71"/>
  <c r="G17" i="71"/>
  <c r="G19" i="71"/>
  <c r="G22" i="71"/>
  <c r="G24" i="71"/>
  <c r="G28" i="71"/>
  <c r="G29" i="71"/>
  <c r="G15" i="2"/>
  <c r="G16" i="2"/>
  <c r="G17" i="2"/>
  <c r="G19" i="2"/>
  <c r="G21" i="2"/>
  <c r="G24" i="2"/>
  <c r="G26" i="2"/>
  <c r="G31" i="2"/>
  <c r="G32" i="2"/>
  <c r="G14" i="24"/>
  <c r="G15" i="24"/>
  <c r="G18" i="24"/>
  <c r="G21" i="24"/>
  <c r="G23" i="24"/>
  <c r="G27" i="24"/>
  <c r="G28" i="24"/>
  <c r="G14" i="10"/>
  <c r="G15" i="10"/>
  <c r="G18" i="10"/>
  <c r="G21" i="10"/>
  <c r="G23" i="10"/>
  <c r="G28" i="10"/>
  <c r="G29" i="10"/>
  <c r="G14" i="17"/>
  <c r="G15" i="17"/>
  <c r="G18" i="17"/>
  <c r="G21" i="17"/>
  <c r="G23" i="17"/>
  <c r="G27" i="17"/>
  <c r="G28" i="17"/>
  <c r="G21" i="15"/>
  <c r="G14" i="53"/>
  <c r="G14" i="21"/>
  <c r="G14" i="28"/>
  <c r="G37" i="2" l="1"/>
  <c r="E44" i="39"/>
  <c r="H29" i="2"/>
  <c r="G32" i="24" l="1"/>
  <c r="G34" i="10"/>
  <c r="G33" i="17"/>
  <c r="G34" i="71"/>
  <c r="G34" i="20"/>
  <c r="D4" i="51" l="1"/>
  <c r="G63" i="20"/>
  <c r="E46" i="22"/>
  <c r="E47" i="22" l="1"/>
  <c r="K46" i="51" l="1"/>
  <c r="J46" i="51"/>
  <c r="I50" i="15" l="1"/>
  <c r="C35" i="51" l="1"/>
  <c r="E35" i="51"/>
  <c r="E70" i="4"/>
  <c r="G27" i="28" l="1"/>
  <c r="E39" i="68"/>
  <c r="I49" i="51" l="1"/>
  <c r="I59" i="51" l="1"/>
  <c r="I50" i="51"/>
  <c r="E37" i="53"/>
  <c r="H42" i="51" l="1"/>
  <c r="F35" i="51" l="1"/>
  <c r="E45" i="79"/>
  <c r="D45" i="79"/>
  <c r="C45" i="79"/>
  <c r="D34" i="79"/>
  <c r="C34" i="79"/>
  <c r="E34" i="79"/>
  <c r="A12" i="79"/>
  <c r="E46" i="79" l="1"/>
  <c r="C46" i="79"/>
  <c r="H26" i="79"/>
  <c r="D46" i="79"/>
  <c r="G34" i="79" l="1"/>
  <c r="D62" i="20"/>
  <c r="E62" i="20"/>
  <c r="F62" i="20"/>
  <c r="C62" i="20"/>
  <c r="G46" i="79" l="1"/>
  <c r="D35" i="51"/>
  <c r="G22" i="37" l="1"/>
  <c r="D60" i="4"/>
  <c r="C60" i="4"/>
  <c r="F60" i="4"/>
  <c r="C60" i="15" l="1"/>
  <c r="D60" i="15"/>
  <c r="E60" i="15"/>
  <c r="F60" i="15"/>
  <c r="G45" i="54" l="1"/>
  <c r="D87" i="19" l="1"/>
  <c r="C87" i="19"/>
  <c r="D62" i="21" l="1"/>
  <c r="F62" i="21"/>
  <c r="C62" i="21"/>
  <c r="D49" i="27"/>
  <c r="E49" i="27"/>
  <c r="F49" i="27"/>
  <c r="C49" i="27"/>
  <c r="D48" i="40" l="1"/>
  <c r="E48" i="40"/>
  <c r="F48" i="40"/>
  <c r="C48" i="40"/>
  <c r="E6" i="51"/>
  <c r="D63" i="6"/>
  <c r="F63" i="6"/>
  <c r="C63" i="6"/>
  <c r="D58" i="5"/>
  <c r="F58" i="5"/>
  <c r="C58" i="5"/>
  <c r="C42" i="24"/>
  <c r="E19" i="30" l="1"/>
  <c r="E17" i="30"/>
  <c r="E16" i="30"/>
  <c r="E14" i="30"/>
  <c r="E21" i="30"/>
  <c r="E44" i="53"/>
  <c r="E41" i="53"/>
  <c r="E39" i="53"/>
  <c r="E46" i="53"/>
  <c r="E29" i="53"/>
  <c r="E28" i="53"/>
  <c r="E27" i="53"/>
  <c r="E24" i="53"/>
  <c r="E23" i="53"/>
  <c r="E22" i="53"/>
  <c r="E21" i="53"/>
  <c r="E19" i="53"/>
  <c r="E18" i="53"/>
  <c r="E17" i="53"/>
  <c r="E16" i="53"/>
  <c r="E15" i="53"/>
  <c r="E14" i="53"/>
  <c r="E12" i="53"/>
  <c r="E27" i="32"/>
  <c r="E26" i="32"/>
  <c r="E25" i="32"/>
  <c r="E22" i="32"/>
  <c r="E21" i="32"/>
  <c r="E20" i="32"/>
  <c r="E19" i="32"/>
  <c r="E17" i="32"/>
  <c r="E16" i="32"/>
  <c r="E15" i="32"/>
  <c r="E14" i="32"/>
  <c r="E12" i="32"/>
  <c r="E40" i="9"/>
  <c r="E39" i="9"/>
  <c r="E37" i="9"/>
  <c r="E42" i="9"/>
  <c r="E30" i="9"/>
  <c r="E29" i="9"/>
  <c r="E28" i="9"/>
  <c r="E27" i="9"/>
  <c r="E24" i="9"/>
  <c r="E23" i="9"/>
  <c r="E22" i="9"/>
  <c r="E21" i="9"/>
  <c r="E19" i="9"/>
  <c r="E18" i="9"/>
  <c r="E17" i="9"/>
  <c r="E16" i="9"/>
  <c r="E15" i="9"/>
  <c r="E14" i="9"/>
  <c r="E12" i="9"/>
  <c r="E36" i="61"/>
  <c r="E39" i="61" s="1"/>
  <c r="E29" i="61"/>
  <c r="E28" i="61"/>
  <c r="E27" i="61"/>
  <c r="E24" i="61"/>
  <c r="E23" i="61"/>
  <c r="E22" i="61"/>
  <c r="E21" i="61"/>
  <c r="E19" i="61"/>
  <c r="E18" i="61"/>
  <c r="E17" i="61"/>
  <c r="E16" i="61"/>
  <c r="E15" i="61"/>
  <c r="E14" i="61"/>
  <c r="E12" i="61"/>
  <c r="E43" i="66"/>
  <c r="E40" i="66"/>
  <c r="E38" i="66"/>
  <c r="E45" i="66"/>
  <c r="E29" i="66"/>
  <c r="E28" i="66"/>
  <c r="E27" i="66"/>
  <c r="E24" i="66"/>
  <c r="E23" i="66"/>
  <c r="E22" i="66"/>
  <c r="E21" i="66"/>
  <c r="E19" i="66"/>
  <c r="E18" i="66"/>
  <c r="E17" i="66"/>
  <c r="E16" i="66"/>
  <c r="E15" i="66"/>
  <c r="E14" i="66"/>
  <c r="E12" i="66"/>
  <c r="E36" i="63"/>
  <c r="E35" i="63"/>
  <c r="E33" i="63"/>
  <c r="E40" i="63"/>
  <c r="E29" i="63"/>
  <c r="E28" i="63"/>
  <c r="E27" i="63"/>
  <c r="E24" i="63"/>
  <c r="E23" i="63"/>
  <c r="E22" i="63"/>
  <c r="E21" i="63"/>
  <c r="E19" i="63"/>
  <c r="E18" i="63"/>
  <c r="E17" i="63"/>
  <c r="E16" i="63"/>
  <c r="E15" i="63"/>
  <c r="E14" i="63"/>
  <c r="E12" i="63"/>
  <c r="E19" i="16"/>
  <c r="E18" i="16"/>
  <c r="E16" i="16"/>
  <c r="E14" i="16"/>
  <c r="E21" i="16"/>
  <c r="E37" i="64"/>
  <c r="E35" i="64"/>
  <c r="E42" i="64"/>
  <c r="E27" i="64"/>
  <c r="E26" i="64"/>
  <c r="E25" i="64"/>
  <c r="E22" i="64"/>
  <c r="E21" i="64"/>
  <c r="E20" i="64"/>
  <c r="E19" i="64"/>
  <c r="E17" i="64"/>
  <c r="E16" i="64"/>
  <c r="E15" i="64"/>
  <c r="E14" i="64"/>
  <c r="E12" i="64"/>
  <c r="E59" i="22"/>
  <c r="E61" i="22" s="1"/>
  <c r="E52" i="22"/>
  <c r="E51" i="22"/>
  <c r="E50" i="22"/>
  <c r="E49" i="22"/>
  <c r="E45" i="22"/>
  <c r="E48" i="22"/>
  <c r="E43" i="22"/>
  <c r="E41" i="22"/>
  <c r="E40" i="22"/>
  <c r="E38" i="22"/>
  <c r="E54" i="22"/>
  <c r="E31" i="22"/>
  <c r="E30" i="22"/>
  <c r="E29" i="22"/>
  <c r="E28" i="22"/>
  <c r="E25" i="22"/>
  <c r="E24" i="22"/>
  <c r="E23" i="22"/>
  <c r="E22" i="22"/>
  <c r="E20" i="22"/>
  <c r="E19" i="22"/>
  <c r="E18" i="22"/>
  <c r="E17" i="22"/>
  <c r="E16" i="22"/>
  <c r="E15" i="22"/>
  <c r="E14" i="22"/>
  <c r="E12" i="22"/>
  <c r="E30" i="39"/>
  <c r="E29" i="39"/>
  <c r="E28" i="39"/>
  <c r="E25" i="39"/>
  <c r="E24" i="39"/>
  <c r="E23" i="39"/>
  <c r="E22" i="39"/>
  <c r="E20" i="39"/>
  <c r="E19" i="39"/>
  <c r="E17" i="39"/>
  <c r="E16" i="39"/>
  <c r="E15" i="39"/>
  <c r="E14" i="39"/>
  <c r="E12" i="39"/>
  <c r="E46" i="21"/>
  <c r="E44" i="21"/>
  <c r="E43" i="21"/>
  <c r="E41" i="21"/>
  <c r="E61" i="21"/>
  <c r="E60" i="21"/>
  <c r="E59" i="21"/>
  <c r="E52" i="21"/>
  <c r="E51" i="21"/>
  <c r="E34" i="21"/>
  <c r="E33" i="21"/>
  <c r="E32" i="21"/>
  <c r="E31" i="21"/>
  <c r="E28" i="21"/>
  <c r="E27" i="21"/>
  <c r="E26" i="21"/>
  <c r="E25" i="21"/>
  <c r="E23" i="21"/>
  <c r="E22" i="21"/>
  <c r="E21" i="21"/>
  <c r="E19" i="21"/>
  <c r="E18" i="21"/>
  <c r="E17" i="21"/>
  <c r="E16" i="21"/>
  <c r="E15" i="21"/>
  <c r="E14" i="21"/>
  <c r="E12" i="21"/>
  <c r="E39" i="20"/>
  <c r="E37" i="20"/>
  <c r="E46" i="20"/>
  <c r="E30" i="20"/>
  <c r="E29" i="20"/>
  <c r="E28" i="20"/>
  <c r="E27" i="20"/>
  <c r="E24" i="20"/>
  <c r="E23" i="20"/>
  <c r="E22" i="20"/>
  <c r="E21" i="20"/>
  <c r="E19" i="20"/>
  <c r="E18" i="20"/>
  <c r="E17" i="20"/>
  <c r="E16" i="20"/>
  <c r="E15" i="20"/>
  <c r="E14" i="20"/>
  <c r="E12" i="20"/>
  <c r="E49" i="19"/>
  <c r="E46" i="19"/>
  <c r="E45" i="19"/>
  <c r="E43" i="19"/>
  <c r="E42" i="19"/>
  <c r="E40" i="19"/>
  <c r="E67" i="19"/>
  <c r="E66" i="19"/>
  <c r="E64" i="19"/>
  <c r="E63" i="19"/>
  <c r="E62" i="19"/>
  <c r="E61" i="19"/>
  <c r="E59" i="19"/>
  <c r="E57" i="19"/>
  <c r="E56" i="19"/>
  <c r="E55" i="19"/>
  <c r="E33" i="19"/>
  <c r="E32" i="19"/>
  <c r="E31" i="19"/>
  <c r="E30" i="19"/>
  <c r="E27" i="19"/>
  <c r="E26" i="19"/>
  <c r="E25" i="19"/>
  <c r="E24" i="19"/>
  <c r="E22" i="19"/>
  <c r="E21" i="19"/>
  <c r="E19" i="19"/>
  <c r="E17" i="19"/>
  <c r="E16" i="19"/>
  <c r="E15" i="19"/>
  <c r="E14" i="19"/>
  <c r="E12" i="19"/>
  <c r="E66" i="65"/>
  <c r="E65" i="65"/>
  <c r="E63" i="65"/>
  <c r="E59" i="65"/>
  <c r="E58" i="65"/>
  <c r="E56" i="65"/>
  <c r="E54" i="65"/>
  <c r="E52" i="65"/>
  <c r="E48" i="65"/>
  <c r="E47" i="65"/>
  <c r="E45" i="65"/>
  <c r="E68" i="65"/>
  <c r="E36" i="65"/>
  <c r="E35" i="65"/>
  <c r="E34" i="65"/>
  <c r="E32" i="65"/>
  <c r="E29" i="65"/>
  <c r="E28" i="65"/>
  <c r="E27" i="65"/>
  <c r="E26" i="65"/>
  <c r="E24" i="65"/>
  <c r="E23" i="65"/>
  <c r="E21" i="65"/>
  <c r="E19" i="65"/>
  <c r="E18" i="65"/>
  <c r="E17" i="65"/>
  <c r="E16" i="65"/>
  <c r="E15" i="65"/>
  <c r="E14" i="65"/>
  <c r="E12" i="65"/>
  <c r="E44" i="27"/>
  <c r="E37" i="27"/>
  <c r="E42" i="27"/>
  <c r="E41" i="27"/>
  <c r="E30" i="27"/>
  <c r="E29" i="27"/>
  <c r="E28" i="27"/>
  <c r="E25" i="27"/>
  <c r="E24" i="27"/>
  <c r="E23" i="27"/>
  <c r="E22" i="27"/>
  <c r="E20" i="27"/>
  <c r="E19" i="27"/>
  <c r="E17" i="27"/>
  <c r="E16" i="27"/>
  <c r="E15" i="27"/>
  <c r="E14" i="27"/>
  <c r="E12" i="27"/>
  <c r="E38" i="28"/>
  <c r="E36" i="28"/>
  <c r="E35" i="28"/>
  <c r="E40" i="28"/>
  <c r="E27" i="28"/>
  <c r="E26" i="28"/>
  <c r="E25" i="28"/>
  <c r="E22" i="28"/>
  <c r="E21" i="28"/>
  <c r="E20" i="28"/>
  <c r="E19" i="28"/>
  <c r="E17" i="28"/>
  <c r="E16" i="28"/>
  <c r="E15" i="28"/>
  <c r="E14" i="28"/>
  <c r="E12" i="28"/>
  <c r="E45" i="18"/>
  <c r="E43" i="18"/>
  <c r="E42" i="18"/>
  <c r="E41" i="18"/>
  <c r="E39" i="18"/>
  <c r="E51" i="18"/>
  <c r="E50" i="18"/>
  <c r="E49" i="18"/>
  <c r="E48" i="18"/>
  <c r="E47" i="18"/>
  <c r="E32" i="18"/>
  <c r="E31" i="18"/>
  <c r="E30" i="18"/>
  <c r="E29" i="18"/>
  <c r="E26" i="18"/>
  <c r="E25" i="18"/>
  <c r="E24" i="18"/>
  <c r="E23" i="18"/>
  <c r="E21" i="18"/>
  <c r="E20" i="18"/>
  <c r="E18" i="18"/>
  <c r="E17" i="18"/>
  <c r="E16" i="18"/>
  <c r="E15" i="18"/>
  <c r="E14" i="18"/>
  <c r="E12" i="18"/>
  <c r="E57" i="15"/>
  <c r="E49" i="15"/>
  <c r="E46" i="15"/>
  <c r="E44" i="15"/>
  <c r="E43" i="15"/>
  <c r="E41" i="15"/>
  <c r="E39" i="15"/>
  <c r="E52" i="15"/>
  <c r="E32" i="15"/>
  <c r="E31" i="15"/>
  <c r="E30" i="15"/>
  <c r="E29" i="15"/>
  <c r="E26" i="15"/>
  <c r="E25" i="15"/>
  <c r="E24" i="15"/>
  <c r="E23" i="15"/>
  <c r="E21" i="15"/>
  <c r="E20" i="15"/>
  <c r="E17" i="15"/>
  <c r="E16" i="15"/>
  <c r="E15" i="15"/>
  <c r="E14" i="15"/>
  <c r="E12" i="15"/>
  <c r="E47" i="27" l="1"/>
  <c r="E43" i="9"/>
  <c r="E46" i="66"/>
  <c r="E48" i="53"/>
  <c r="E41" i="63"/>
  <c r="E55" i="22"/>
  <c r="E43" i="64"/>
  <c r="E22" i="16"/>
  <c r="E22" i="30"/>
  <c r="E42" i="28"/>
  <c r="E53" i="18"/>
  <c r="E54" i="15"/>
  <c r="E81" i="65"/>
  <c r="E87" i="19"/>
  <c r="E54" i="20"/>
  <c r="E34" i="53"/>
  <c r="E62" i="21"/>
  <c r="E43" i="40"/>
  <c r="E41" i="40"/>
  <c r="E40" i="40"/>
  <c r="E38" i="40"/>
  <c r="E45" i="40"/>
  <c r="E30" i="40"/>
  <c r="E29" i="40"/>
  <c r="E28" i="40"/>
  <c r="E25" i="40"/>
  <c r="E24" i="40"/>
  <c r="E23" i="40"/>
  <c r="E22" i="40"/>
  <c r="E20" i="40"/>
  <c r="E19" i="40"/>
  <c r="E17" i="40"/>
  <c r="E16" i="40"/>
  <c r="E15" i="40"/>
  <c r="E14" i="40"/>
  <c r="E12" i="40"/>
  <c r="E43" i="13"/>
  <c r="E41" i="13"/>
  <c r="E40" i="13"/>
  <c r="E38" i="13"/>
  <c r="E46" i="13"/>
  <c r="E31" i="13"/>
  <c r="E30" i="13"/>
  <c r="E29" i="13"/>
  <c r="E28" i="13"/>
  <c r="E25" i="13"/>
  <c r="E24" i="13"/>
  <c r="E23" i="13"/>
  <c r="E22" i="13"/>
  <c r="E20" i="13"/>
  <c r="E19" i="13"/>
  <c r="E17" i="13"/>
  <c r="E16" i="13"/>
  <c r="E15" i="13"/>
  <c r="E14" i="13"/>
  <c r="E12" i="13"/>
  <c r="E63" i="68"/>
  <c r="E62" i="68"/>
  <c r="E61" i="68"/>
  <c r="E59" i="68"/>
  <c r="E58" i="68"/>
  <c r="E57" i="68"/>
  <c r="E56" i="68"/>
  <c r="E55" i="68"/>
  <c r="E53" i="68"/>
  <c r="E51" i="68"/>
  <c r="E48" i="68"/>
  <c r="E46" i="68"/>
  <c r="E45" i="68"/>
  <c r="E43" i="68"/>
  <c r="E42" i="68"/>
  <c r="E41" i="68"/>
  <c r="E38" i="68"/>
  <c r="E65" i="68"/>
  <c r="E31" i="68"/>
  <c r="E30" i="68"/>
  <c r="E29" i="68"/>
  <c r="E28" i="68"/>
  <c r="E25" i="68"/>
  <c r="E24" i="68"/>
  <c r="E23" i="68"/>
  <c r="E22" i="68"/>
  <c r="E20" i="68"/>
  <c r="E19" i="68"/>
  <c r="E18" i="68"/>
  <c r="E17" i="68"/>
  <c r="E16" i="68"/>
  <c r="E15" i="68"/>
  <c r="E14" i="68"/>
  <c r="E12" i="68"/>
  <c r="E40" i="11"/>
  <c r="E41" i="11"/>
  <c r="E38" i="11"/>
  <c r="E47" i="11"/>
  <c r="E46" i="11"/>
  <c r="E31" i="11"/>
  <c r="E30" i="11"/>
  <c r="E29" i="11"/>
  <c r="E28" i="11"/>
  <c r="E25" i="11"/>
  <c r="E24" i="11"/>
  <c r="E23" i="11"/>
  <c r="E22" i="11"/>
  <c r="E20" i="11"/>
  <c r="E19" i="11"/>
  <c r="E17" i="11"/>
  <c r="E16" i="11"/>
  <c r="E15" i="11"/>
  <c r="E14" i="11"/>
  <c r="E12" i="11"/>
  <c r="E42" i="8"/>
  <c r="E40" i="8"/>
  <c r="E39" i="8"/>
  <c r="E37" i="8"/>
  <c r="E44" i="8"/>
  <c r="E30" i="8"/>
  <c r="E29" i="8"/>
  <c r="E28" i="8"/>
  <c r="E27" i="8"/>
  <c r="E24" i="8"/>
  <c r="E23" i="8"/>
  <c r="E22" i="8"/>
  <c r="E21" i="8"/>
  <c r="E19" i="8"/>
  <c r="E18" i="8"/>
  <c r="E17" i="8"/>
  <c r="E16" i="8"/>
  <c r="E15" i="8"/>
  <c r="E14" i="8"/>
  <c r="E12" i="8"/>
  <c r="E38" i="54"/>
  <c r="E37" i="54"/>
  <c r="E42" i="54"/>
  <c r="E29" i="54"/>
  <c r="E28" i="54"/>
  <c r="E27" i="54"/>
  <c r="E24" i="54"/>
  <c r="E23" i="54"/>
  <c r="E22" i="54"/>
  <c r="E21" i="54"/>
  <c r="E19" i="54"/>
  <c r="E18" i="54"/>
  <c r="E17" i="54"/>
  <c r="E16" i="54"/>
  <c r="E15" i="54"/>
  <c r="E14" i="54"/>
  <c r="E12" i="54"/>
  <c r="E44" i="7"/>
  <c r="E42" i="7"/>
  <c r="E41" i="7"/>
  <c r="E39" i="7"/>
  <c r="E46" i="7"/>
  <c r="E32" i="7"/>
  <c r="E31" i="7"/>
  <c r="E30" i="7"/>
  <c r="E29" i="7"/>
  <c r="E26" i="7"/>
  <c r="E25" i="7"/>
  <c r="E24" i="7"/>
  <c r="E23" i="7"/>
  <c r="E21" i="7"/>
  <c r="E20" i="7"/>
  <c r="E18" i="7"/>
  <c r="E17" i="7"/>
  <c r="E16" i="7"/>
  <c r="E15" i="7"/>
  <c r="E14" i="7"/>
  <c r="E12" i="7"/>
  <c r="E42" i="71"/>
  <c r="E40" i="71"/>
  <c r="E39" i="71"/>
  <c r="E37" i="71"/>
  <c r="E44" i="71"/>
  <c r="E29" i="71"/>
  <c r="E28" i="71"/>
  <c r="E27" i="71"/>
  <c r="E24" i="71"/>
  <c r="E23" i="71"/>
  <c r="E22" i="71"/>
  <c r="E21" i="71"/>
  <c r="E19" i="71"/>
  <c r="E18" i="71"/>
  <c r="E17" i="71"/>
  <c r="E16" i="71"/>
  <c r="E15" i="71"/>
  <c r="E14" i="71"/>
  <c r="E12" i="71"/>
  <c r="E73" i="6"/>
  <c r="E77" i="6"/>
  <c r="E67" i="6"/>
  <c r="E55" i="6"/>
  <c r="E54" i="6"/>
  <c r="E50" i="6"/>
  <c r="E47" i="6"/>
  <c r="E45" i="6"/>
  <c r="E44" i="6"/>
  <c r="E42" i="6"/>
  <c r="E40" i="6"/>
  <c r="E60" i="6"/>
  <c r="E58" i="6"/>
  <c r="E33" i="6"/>
  <c r="E32" i="6"/>
  <c r="E31" i="6"/>
  <c r="E30" i="6"/>
  <c r="E26" i="6"/>
  <c r="E25" i="6"/>
  <c r="E24" i="6"/>
  <c r="E23" i="6"/>
  <c r="E21" i="6"/>
  <c r="E20" i="6"/>
  <c r="E18" i="6"/>
  <c r="E17" i="6"/>
  <c r="E16" i="6"/>
  <c r="E15" i="6"/>
  <c r="E13" i="6"/>
  <c r="E12" i="6"/>
  <c r="E53" i="5"/>
  <c r="E52" i="5"/>
  <c r="E50" i="5"/>
  <c r="E47" i="5"/>
  <c r="E45" i="5"/>
  <c r="E43" i="5"/>
  <c r="E42" i="5"/>
  <c r="E40" i="5"/>
  <c r="E38" i="5"/>
  <c r="E55" i="5"/>
  <c r="E56" i="5"/>
  <c r="E31" i="5"/>
  <c r="E30" i="5"/>
  <c r="E29" i="5"/>
  <c r="E25" i="5"/>
  <c r="E24" i="5"/>
  <c r="E23" i="5"/>
  <c r="E22" i="5"/>
  <c r="E20" i="5"/>
  <c r="E19" i="5"/>
  <c r="E18" i="5"/>
  <c r="E17" i="5"/>
  <c r="E16" i="5"/>
  <c r="E15" i="5"/>
  <c r="E13" i="5"/>
  <c r="E12" i="5"/>
  <c r="E72" i="4"/>
  <c r="E66" i="4"/>
  <c r="E64" i="4"/>
  <c r="E63" i="4"/>
  <c r="E55" i="4"/>
  <c r="E54" i="4"/>
  <c r="E53" i="4"/>
  <c r="E51" i="4"/>
  <c r="E49" i="4"/>
  <c r="E48" i="4"/>
  <c r="E46" i="4"/>
  <c r="E44" i="4"/>
  <c r="E43" i="4"/>
  <c r="E41" i="4"/>
  <c r="E39" i="4"/>
  <c r="E58" i="4"/>
  <c r="E57" i="4"/>
  <c r="E59" i="4"/>
  <c r="E32" i="4"/>
  <c r="E31" i="4"/>
  <c r="E30" i="4"/>
  <c r="E29" i="4"/>
  <c r="E25" i="4"/>
  <c r="E24" i="4"/>
  <c r="E23" i="4"/>
  <c r="E22" i="4"/>
  <c r="E20" i="4"/>
  <c r="E19" i="4"/>
  <c r="E18" i="4"/>
  <c r="E17" i="4"/>
  <c r="E16" i="4"/>
  <c r="E15" i="4"/>
  <c r="E13" i="4"/>
  <c r="E12" i="4"/>
  <c r="E41" i="17"/>
  <c r="E38" i="17"/>
  <c r="E36" i="17"/>
  <c r="E46" i="17"/>
  <c r="E44" i="17"/>
  <c r="E29" i="17"/>
  <c r="E28" i="17"/>
  <c r="E27" i="17"/>
  <c r="E26" i="17"/>
  <c r="E23" i="17"/>
  <c r="E22" i="17"/>
  <c r="E21" i="17"/>
  <c r="E20" i="17"/>
  <c r="E18" i="17"/>
  <c r="E17" i="17"/>
  <c r="E15" i="17"/>
  <c r="E14" i="17"/>
  <c r="E12" i="17"/>
  <c r="E39" i="10"/>
  <c r="E37" i="10"/>
  <c r="E44" i="10"/>
  <c r="E29" i="10"/>
  <c r="E28" i="10"/>
  <c r="E27" i="10"/>
  <c r="E23" i="10"/>
  <c r="E22" i="10"/>
  <c r="E21" i="10"/>
  <c r="E20" i="10"/>
  <c r="E18" i="10"/>
  <c r="E17" i="10"/>
  <c r="E15" i="10"/>
  <c r="E14" i="10"/>
  <c r="E12" i="10"/>
  <c r="E39" i="24"/>
  <c r="E35" i="24"/>
  <c r="E41" i="24"/>
  <c r="E28" i="24"/>
  <c r="E27" i="24"/>
  <c r="E26" i="24"/>
  <c r="E23" i="24"/>
  <c r="E22" i="24"/>
  <c r="E21" i="24"/>
  <c r="E20" i="24"/>
  <c r="E18" i="24"/>
  <c r="E17" i="24"/>
  <c r="E16" i="24"/>
  <c r="E15" i="24"/>
  <c r="E14" i="24"/>
  <c r="E12" i="24"/>
  <c r="E78" i="2"/>
  <c r="E77" i="2"/>
  <c r="E76" i="2"/>
  <c r="E75" i="2"/>
  <c r="E74" i="2"/>
  <c r="E73" i="2"/>
  <c r="E71" i="2"/>
  <c r="E70" i="2"/>
  <c r="E69" i="2"/>
  <c r="E67" i="2"/>
  <c r="E65" i="2"/>
  <c r="E64" i="2"/>
  <c r="E62" i="2"/>
  <c r="E61" i="2"/>
  <c r="E59" i="2"/>
  <c r="E57" i="2"/>
  <c r="E56" i="2"/>
  <c r="E55" i="2"/>
  <c r="E54" i="2"/>
  <c r="E50" i="2"/>
  <c r="E49" i="2"/>
  <c r="E47" i="2"/>
  <c r="E45" i="2"/>
  <c r="E43" i="2"/>
  <c r="E88" i="2"/>
  <c r="E87" i="2"/>
  <c r="E86" i="2"/>
  <c r="E85" i="2"/>
  <c r="E83" i="2"/>
  <c r="E82" i="2"/>
  <c r="E81" i="2"/>
  <c r="E80" i="2"/>
  <c r="E32" i="2"/>
  <c r="E31" i="2"/>
  <c r="E30" i="2"/>
  <c r="E28" i="2"/>
  <c r="E26" i="2"/>
  <c r="E25" i="2"/>
  <c r="E24" i="2"/>
  <c r="E23" i="2"/>
  <c r="E19" i="2"/>
  <c r="E17" i="2"/>
  <c r="E16" i="2"/>
  <c r="E15" i="2"/>
  <c r="E14" i="2"/>
  <c r="E12" i="2"/>
  <c r="F31" i="51"/>
  <c r="E45" i="10" l="1"/>
  <c r="E45" i="71"/>
  <c r="E47" i="13"/>
  <c r="E43" i="54"/>
  <c r="E47" i="7"/>
  <c r="E45" i="8"/>
  <c r="E46" i="40"/>
  <c r="E66" i="68"/>
  <c r="E48" i="11"/>
  <c r="E47" i="17"/>
  <c r="E42" i="24"/>
  <c r="E89" i="2"/>
  <c r="E87" i="6"/>
  <c r="E34" i="54"/>
  <c r="E60" i="4"/>
  <c r="E63" i="6"/>
  <c r="E58" i="5"/>
  <c r="G24" i="8"/>
  <c r="G22" i="8"/>
  <c r="G14" i="32"/>
  <c r="G14" i="31"/>
  <c r="G29" i="53" l="1"/>
  <c r="G28" i="53"/>
  <c r="G24" i="53"/>
  <c r="G22" i="53"/>
  <c r="G19" i="53"/>
  <c r="G17" i="53"/>
  <c r="G22" i="31"/>
  <c r="G20" i="31"/>
  <c r="G17" i="31"/>
  <c r="G15" i="31"/>
  <c r="G27" i="32"/>
  <c r="G26" i="32"/>
  <c r="G22" i="32"/>
  <c r="G20" i="32"/>
  <c r="G17" i="32"/>
  <c r="G15" i="32"/>
  <c r="G29" i="9"/>
  <c r="G28" i="9"/>
  <c r="G24" i="9"/>
  <c r="G22" i="9"/>
  <c r="G19" i="9"/>
  <c r="G17" i="9"/>
  <c r="G14" i="9"/>
  <c r="G29" i="61"/>
  <c r="G28" i="61"/>
  <c r="G24" i="61"/>
  <c r="G22" i="61"/>
  <c r="G19" i="61"/>
  <c r="G17" i="61"/>
  <c r="G14" i="61"/>
  <c r="G29" i="66"/>
  <c r="G28" i="66"/>
  <c r="G24" i="66"/>
  <c r="G22" i="66"/>
  <c r="G19" i="66"/>
  <c r="G17" i="66"/>
  <c r="G14" i="66"/>
  <c r="G29" i="63"/>
  <c r="G28" i="63"/>
  <c r="G24" i="63"/>
  <c r="G22" i="63"/>
  <c r="G19" i="63"/>
  <c r="G17" i="63"/>
  <c r="G14" i="63"/>
  <c r="G30" i="22"/>
  <c r="G29" i="22"/>
  <c r="G25" i="22"/>
  <c r="G23" i="22"/>
  <c r="G20" i="22"/>
  <c r="G17" i="22"/>
  <c r="G14" i="22"/>
  <c r="G30" i="39"/>
  <c r="G29" i="39"/>
  <c r="G25" i="39"/>
  <c r="G23" i="39"/>
  <c r="G20" i="39"/>
  <c r="G17" i="39"/>
  <c r="G14" i="39"/>
  <c r="G33" i="21"/>
  <c r="G32" i="21"/>
  <c r="G28" i="21"/>
  <c r="G26" i="21"/>
  <c r="G23" i="21"/>
  <c r="G19" i="21"/>
  <c r="G18" i="21"/>
  <c r="G17" i="21"/>
  <c r="G32" i="19"/>
  <c r="G31" i="19"/>
  <c r="G27" i="19"/>
  <c r="G25" i="19"/>
  <c r="G22" i="19"/>
  <c r="G17" i="19"/>
  <c r="G14" i="19"/>
  <c r="G35" i="65"/>
  <c r="G34" i="65"/>
  <c r="G29" i="65"/>
  <c r="G27" i="65"/>
  <c r="G24" i="65"/>
  <c r="G19" i="65"/>
  <c r="G18" i="65"/>
  <c r="G30" i="27"/>
  <c r="G29" i="27"/>
  <c r="G25" i="27"/>
  <c r="G23" i="27"/>
  <c r="G20" i="27"/>
  <c r="G17" i="65"/>
  <c r="G14" i="65"/>
  <c r="G17" i="27"/>
  <c r="G14" i="27"/>
  <c r="G26" i="28"/>
  <c r="G22" i="28"/>
  <c r="G20" i="28"/>
  <c r="G17" i="28"/>
  <c r="G15" i="28"/>
  <c r="G30" i="15"/>
  <c r="G31" i="15"/>
  <c r="G26" i="15"/>
  <c r="G24" i="15"/>
  <c r="G17" i="15"/>
  <c r="G14" i="15"/>
  <c r="G30" i="40"/>
  <c r="G29" i="40"/>
  <c r="G25" i="40"/>
  <c r="G23" i="40"/>
  <c r="G20" i="40"/>
  <c r="G17" i="40"/>
  <c r="G14" i="40"/>
  <c r="G30" i="13"/>
  <c r="G29" i="13"/>
  <c r="G25" i="13"/>
  <c r="G23" i="13"/>
  <c r="G20" i="13"/>
  <c r="G17" i="13"/>
  <c r="G14" i="13"/>
  <c r="H26" i="61" l="1"/>
  <c r="G30" i="11"/>
  <c r="G29" i="11"/>
  <c r="G25" i="11"/>
  <c r="G23" i="11"/>
  <c r="G20" i="11"/>
  <c r="G17" i="11"/>
  <c r="G14" i="11"/>
  <c r="G29" i="8"/>
  <c r="G28" i="8"/>
  <c r="G19" i="8"/>
  <c r="G17" i="8"/>
  <c r="G14" i="8"/>
  <c r="G29" i="54"/>
  <c r="G28" i="54"/>
  <c r="G24" i="54"/>
  <c r="G22" i="54"/>
  <c r="G19" i="54"/>
  <c r="G17" i="54"/>
  <c r="G14" i="54"/>
  <c r="G31" i="7"/>
  <c r="G30" i="7"/>
  <c r="G26" i="7"/>
  <c r="G24" i="7"/>
  <c r="G21" i="7"/>
  <c r="G17" i="7"/>
  <c r="G14" i="7"/>
  <c r="G32" i="6"/>
  <c r="G31" i="6"/>
  <c r="G26" i="6"/>
  <c r="G24" i="6"/>
  <c r="G21" i="6"/>
  <c r="G18" i="6"/>
  <c r="G15" i="6"/>
  <c r="G16" i="53" l="1"/>
  <c r="G15" i="53"/>
  <c r="G16" i="9"/>
  <c r="G15" i="9"/>
  <c r="G16" i="61"/>
  <c r="G15" i="61"/>
  <c r="G16" i="66"/>
  <c r="G15" i="66"/>
  <c r="G16" i="63"/>
  <c r="G15" i="63"/>
  <c r="G16" i="22"/>
  <c r="G15" i="22"/>
  <c r="G16" i="39"/>
  <c r="G15" i="39"/>
  <c r="G16" i="21"/>
  <c r="G15" i="21"/>
  <c r="G16" i="19"/>
  <c r="G15" i="19"/>
  <c r="G16" i="65"/>
  <c r="G15" i="65"/>
  <c r="G16" i="27"/>
  <c r="G15" i="27"/>
  <c r="G16" i="15"/>
  <c r="G15" i="15"/>
  <c r="G16" i="40"/>
  <c r="G15" i="40"/>
  <c r="G16" i="13"/>
  <c r="G15" i="13"/>
  <c r="G16" i="11"/>
  <c r="G15" i="11"/>
  <c r="G16" i="8"/>
  <c r="G15" i="8"/>
  <c r="G16" i="54"/>
  <c r="G15" i="54"/>
  <c r="G16" i="7"/>
  <c r="G15" i="7"/>
  <c r="G17" i="6"/>
  <c r="G16" i="6"/>
  <c r="G17" i="5"/>
  <c r="G16" i="5"/>
  <c r="D45" i="64" l="1"/>
  <c r="E45" i="64"/>
  <c r="F45" i="64"/>
  <c r="C45" i="64"/>
  <c r="E47" i="10"/>
  <c r="F47" i="10"/>
  <c r="G47" i="10"/>
  <c r="D47" i="10"/>
  <c r="D58" i="15" l="1"/>
  <c r="E58" i="15"/>
  <c r="F58" i="15"/>
  <c r="C58" i="15"/>
  <c r="H26" i="53" l="1"/>
  <c r="H24" i="31"/>
  <c r="H24" i="64"/>
  <c r="H30" i="21"/>
  <c r="H26" i="20"/>
  <c r="H24" i="28"/>
  <c r="H28" i="18"/>
  <c r="H26" i="54"/>
  <c r="H26" i="71"/>
  <c r="G38" i="21" l="1"/>
  <c r="G34" i="54"/>
  <c r="H29" i="6"/>
  <c r="G37" i="6"/>
  <c r="H26" i="9"/>
  <c r="G34" i="9"/>
  <c r="H29" i="19"/>
  <c r="G37" i="19"/>
  <c r="H27" i="40"/>
  <c r="G35" i="40"/>
  <c r="H27" i="68"/>
  <c r="H28" i="15"/>
  <c r="G36" i="15"/>
  <c r="H24" i="32"/>
  <c r="G31" i="32"/>
  <c r="H31" i="65"/>
  <c r="G40" i="65"/>
  <c r="H26" i="63"/>
  <c r="G30" i="63"/>
  <c r="G34" i="53"/>
  <c r="H27" i="11"/>
  <c r="G35" i="11"/>
  <c r="H26" i="66"/>
  <c r="G33" i="66"/>
  <c r="G30" i="61"/>
  <c r="H27" i="13"/>
  <c r="G35" i="13"/>
  <c r="H27" i="27"/>
  <c r="G34" i="27"/>
  <c r="H27" i="22"/>
  <c r="G35" i="22"/>
  <c r="H26" i="8"/>
  <c r="G34" i="8"/>
  <c r="H28" i="7"/>
  <c r="G36" i="7"/>
  <c r="G32" i="28"/>
  <c r="H27" i="39"/>
  <c r="G35" i="39"/>
  <c r="G31" i="5"/>
  <c r="G30" i="5"/>
  <c r="G25" i="5"/>
  <c r="G23" i="5"/>
  <c r="G20" i="5"/>
  <c r="G18" i="5"/>
  <c r="G15" i="5"/>
  <c r="G31" i="4"/>
  <c r="G30" i="4"/>
  <c r="G25" i="4"/>
  <c r="G23" i="4"/>
  <c r="G20" i="4"/>
  <c r="G18" i="4"/>
  <c r="G17" i="4"/>
  <c r="G16" i="4"/>
  <c r="G15" i="4"/>
  <c r="G62" i="22" l="1"/>
  <c r="G65" i="21"/>
  <c r="G36" i="4"/>
  <c r="G35" i="5"/>
  <c r="H26" i="10"/>
  <c r="H25" i="17"/>
  <c r="H28" i="4"/>
  <c r="H26" i="24"/>
  <c r="H28" i="5"/>
  <c r="D92" i="2" l="1"/>
  <c r="E92" i="2"/>
  <c r="F92" i="2"/>
  <c r="F4" i="51"/>
  <c r="C92" i="2" l="1"/>
  <c r="D31" i="32"/>
  <c r="E31" i="32"/>
  <c r="F31" i="32"/>
  <c r="H35" i="51"/>
  <c r="C31" i="32"/>
  <c r="D32" i="31"/>
  <c r="E32" i="31"/>
  <c r="F32" i="31"/>
  <c r="G32" i="31"/>
  <c r="C32" i="31"/>
  <c r="D33" i="66"/>
  <c r="E33" i="66"/>
  <c r="F33" i="66"/>
  <c r="C33" i="66"/>
  <c r="D32" i="64"/>
  <c r="E32" i="64"/>
  <c r="F32" i="64"/>
  <c r="C32" i="64"/>
  <c r="D32" i="24"/>
  <c r="F32" i="24"/>
  <c r="C32" i="24"/>
  <c r="D33" i="17"/>
  <c r="E33" i="17"/>
  <c r="F33" i="17"/>
  <c r="C33" i="17"/>
  <c r="D34" i="10"/>
  <c r="E34" i="10"/>
  <c r="F34" i="10"/>
  <c r="C34" i="10"/>
  <c r="D34" i="9"/>
  <c r="E34" i="9"/>
  <c r="F34" i="9"/>
  <c r="C34" i="9"/>
  <c r="D36" i="7"/>
  <c r="E36" i="7"/>
  <c r="F36" i="7"/>
  <c r="C36" i="7"/>
  <c r="D35" i="39"/>
  <c r="E35" i="39"/>
  <c r="F35" i="39"/>
  <c r="C35" i="39"/>
  <c r="D34" i="20"/>
  <c r="D63" i="20" s="1"/>
  <c r="E34" i="20"/>
  <c r="E63" i="20" s="1"/>
  <c r="F34" i="20"/>
  <c r="F63" i="20" s="1"/>
  <c r="C34" i="20"/>
  <c r="C63" i="20" s="1"/>
  <c r="D32" i="28"/>
  <c r="E32" i="28"/>
  <c r="F32" i="28"/>
  <c r="C32" i="28"/>
  <c r="D35" i="68"/>
  <c r="E35" i="68"/>
  <c r="F35" i="68"/>
  <c r="C35" i="68"/>
  <c r="D37" i="19"/>
  <c r="E37" i="19"/>
  <c r="F37" i="19"/>
  <c r="C37" i="19"/>
  <c r="C90" i="19" s="1"/>
  <c r="D38" i="21"/>
  <c r="E38" i="21"/>
  <c r="F38" i="21"/>
  <c r="C38" i="21"/>
  <c r="D34" i="27"/>
  <c r="E34" i="27"/>
  <c r="F34" i="27"/>
  <c r="C34" i="27"/>
  <c r="D34" i="71"/>
  <c r="E34" i="71"/>
  <c r="F34" i="71"/>
  <c r="C34" i="71"/>
  <c r="D35" i="11"/>
  <c r="E35" i="11"/>
  <c r="F35" i="11"/>
  <c r="C35" i="11"/>
  <c r="D40" i="65"/>
  <c r="E40" i="65"/>
  <c r="F40" i="65"/>
  <c r="C40" i="65"/>
  <c r="D35" i="22"/>
  <c r="E35" i="22"/>
  <c r="F35" i="22"/>
  <c r="C35" i="22"/>
  <c r="D34" i="8"/>
  <c r="E34" i="8"/>
  <c r="F34" i="8"/>
  <c r="C34" i="8"/>
  <c r="D35" i="13"/>
  <c r="E35" i="13"/>
  <c r="F35" i="13"/>
  <c r="C35" i="13"/>
  <c r="E35" i="40"/>
  <c r="F35" i="40"/>
  <c r="C35" i="40"/>
  <c r="D35" i="40"/>
  <c r="D36" i="18"/>
  <c r="E36" i="18"/>
  <c r="F36" i="18"/>
  <c r="C36" i="18"/>
  <c r="D36" i="15"/>
  <c r="E36" i="15"/>
  <c r="F36" i="15"/>
  <c r="C36" i="15"/>
  <c r="D37" i="6"/>
  <c r="E37" i="6"/>
  <c r="F37" i="6"/>
  <c r="C37" i="6"/>
  <c r="D35" i="5"/>
  <c r="E35" i="5"/>
  <c r="F35" i="5"/>
  <c r="C35" i="5"/>
  <c r="D36" i="4"/>
  <c r="E36" i="4"/>
  <c r="F36" i="4"/>
  <c r="C36" i="4"/>
  <c r="D22" i="51" l="1"/>
  <c r="G56" i="18" l="1"/>
  <c r="G39" i="37" l="1"/>
  <c r="D37" i="2" l="1"/>
  <c r="F37" i="2"/>
  <c r="C37" i="2"/>
  <c r="G46" i="64" l="1"/>
  <c r="H41" i="37" l="1"/>
  <c r="C125" i="75" l="1"/>
  <c r="J54" i="75"/>
  <c r="I52" i="75"/>
  <c r="J49" i="75"/>
  <c r="I47" i="75"/>
  <c r="H42" i="75"/>
  <c r="J45" i="75" s="1"/>
  <c r="A42" i="75"/>
  <c r="J41" i="75"/>
  <c r="I41" i="75"/>
  <c r="K39" i="75"/>
  <c r="C38" i="75"/>
  <c r="C37" i="75"/>
  <c r="F36" i="75"/>
  <c r="E36" i="75"/>
  <c r="C36" i="75"/>
  <c r="F35" i="75"/>
  <c r="C35" i="75"/>
  <c r="F34" i="75"/>
  <c r="C34" i="75"/>
  <c r="C33" i="75"/>
  <c r="E32" i="75"/>
  <c r="D32" i="75"/>
  <c r="E31" i="75"/>
  <c r="C31" i="75"/>
  <c r="E30" i="75"/>
  <c r="C30" i="75"/>
  <c r="C29" i="75"/>
  <c r="E28" i="75"/>
  <c r="C28" i="75"/>
  <c r="E27" i="75"/>
  <c r="C27" i="75"/>
  <c r="F26" i="75"/>
  <c r="E26" i="75"/>
  <c r="C26" i="75"/>
  <c r="E25" i="75"/>
  <c r="C25" i="75"/>
  <c r="C24" i="75"/>
  <c r="C23" i="75"/>
  <c r="E22" i="75"/>
  <c r="C22" i="75"/>
  <c r="E21" i="75"/>
  <c r="C21" i="75"/>
  <c r="E20" i="75"/>
  <c r="C20" i="75"/>
  <c r="E19" i="75"/>
  <c r="C19" i="75"/>
  <c r="E18" i="75"/>
  <c r="C18" i="75"/>
  <c r="E17" i="75"/>
  <c r="C17" i="75"/>
  <c r="E16" i="75"/>
  <c r="C16" i="75"/>
  <c r="C15" i="75"/>
  <c r="E14" i="75"/>
  <c r="C14" i="75"/>
  <c r="E13" i="75"/>
  <c r="C13" i="75"/>
  <c r="E12" i="75"/>
  <c r="C12" i="75"/>
  <c r="E11" i="75"/>
  <c r="C11" i="75"/>
  <c r="E10" i="75"/>
  <c r="C10" i="75"/>
  <c r="C9" i="75"/>
  <c r="E8" i="75"/>
  <c r="C8" i="75"/>
  <c r="F7" i="75"/>
  <c r="C7" i="75"/>
  <c r="E6" i="75"/>
  <c r="C6" i="75"/>
  <c r="F5" i="75"/>
  <c r="A5" i="75"/>
  <c r="A6" i="75" s="1"/>
  <c r="A7" i="75" s="1"/>
  <c r="A8" i="75" s="1"/>
  <c r="A9" i="75" s="1"/>
  <c r="A10" i="75" s="1"/>
  <c r="A11" i="75" s="1"/>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C4" i="75"/>
  <c r="C43" i="75" l="1"/>
  <c r="F24" i="75"/>
  <c r="E24" i="75" l="1"/>
  <c r="E4" i="75" l="1"/>
  <c r="B13" i="73"/>
  <c r="F26" i="51" l="1"/>
  <c r="E34" i="75"/>
  <c r="E33" i="75"/>
  <c r="E35" i="75"/>
  <c r="D12" i="73"/>
  <c r="D8" i="73"/>
  <c r="D11" i="73" l="1"/>
  <c r="D6" i="73"/>
  <c r="D9" i="73"/>
  <c r="D4" i="73"/>
  <c r="D7" i="73" l="1"/>
  <c r="D10" i="73"/>
  <c r="D5" i="73"/>
  <c r="D3" i="73"/>
  <c r="H39" i="75" l="1"/>
  <c r="D13" i="73"/>
  <c r="C13" i="73"/>
  <c r="B75" i="73"/>
  <c r="G275" i="70"/>
  <c r="G272" i="70"/>
  <c r="F37" i="51"/>
  <c r="E37" i="51"/>
  <c r="F36" i="51"/>
  <c r="E36" i="51"/>
  <c r="F34" i="51"/>
  <c r="E34" i="51"/>
  <c r="D32" i="51"/>
  <c r="E18" i="51"/>
  <c r="F5" i="51"/>
  <c r="E8" i="51"/>
  <c r="F4" i="75" l="1"/>
  <c r="E4" i="51"/>
  <c r="F30" i="63"/>
  <c r="E30" i="63"/>
  <c r="D30" i="63"/>
  <c r="C30" i="63"/>
  <c r="F30" i="61"/>
  <c r="D30" i="61"/>
  <c r="C30" i="61"/>
  <c r="F18" i="51" l="1"/>
  <c r="F18" i="75"/>
  <c r="F11" i="51" l="1"/>
  <c r="F11" i="75"/>
  <c r="E32" i="51"/>
  <c r="E31" i="51"/>
  <c r="E30" i="51"/>
  <c r="E27" i="51"/>
  <c r="E26" i="51"/>
  <c r="E25" i="51"/>
  <c r="E24" i="51"/>
  <c r="E22" i="51"/>
  <c r="E21" i="51"/>
  <c r="E20" i="51"/>
  <c r="E19" i="51"/>
  <c r="G18" i="75"/>
  <c r="G43" i="75" s="1"/>
  <c r="E17" i="51"/>
  <c r="E16" i="51"/>
  <c r="E13" i="51"/>
  <c r="E12" i="51"/>
  <c r="E11" i="51"/>
  <c r="G323" i="70"/>
  <c r="H323" i="70"/>
  <c r="H332" i="70"/>
  <c r="G307" i="70"/>
  <c r="H307" i="70"/>
  <c r="H282" i="70"/>
  <c r="G332" i="70"/>
  <c r="F13" i="51" l="1"/>
  <c r="F13" i="75"/>
  <c r="F30" i="51"/>
  <c r="F30" i="75"/>
  <c r="F19" i="51"/>
  <c r="F19" i="75"/>
  <c r="F25" i="51"/>
  <c r="F25" i="75"/>
  <c r="F31" i="75"/>
  <c r="F38" i="51"/>
  <c r="F37" i="75"/>
  <c r="F29" i="51"/>
  <c r="F29" i="75"/>
  <c r="F39" i="51"/>
  <c r="F38" i="75"/>
  <c r="F15" i="51"/>
  <c r="F15" i="75"/>
  <c r="F16" i="51"/>
  <c r="F16" i="75"/>
  <c r="F17" i="51"/>
  <c r="F17" i="75"/>
  <c r="F20" i="51"/>
  <c r="F20" i="75"/>
  <c r="F12" i="51"/>
  <c r="F12" i="75"/>
  <c r="E39" i="51"/>
  <c r="E38" i="75"/>
  <c r="F21" i="51"/>
  <c r="F21" i="75"/>
  <c r="E15" i="51"/>
  <c r="E15" i="75"/>
  <c r="E5" i="51"/>
  <c r="E5" i="75"/>
  <c r="E28" i="51"/>
  <c r="G282" i="70"/>
  <c r="F9" i="75" l="1"/>
  <c r="F9" i="51" l="1"/>
  <c r="E30" i="61" l="1"/>
  <c r="E355" i="70" l="1"/>
  <c r="F314" i="70"/>
  <c r="F323" i="70"/>
  <c r="F307" i="70"/>
  <c r="E330" i="70"/>
  <c r="E321" i="70"/>
  <c r="E320" i="70"/>
  <c r="E319" i="70"/>
  <c r="E318" i="70"/>
  <c r="E317" i="70"/>
  <c r="E312" i="70"/>
  <c r="E310" i="70"/>
  <c r="E304" i="70"/>
  <c r="E301" i="70"/>
  <c r="E299" i="70"/>
  <c r="E298" i="70"/>
  <c r="E297" i="70"/>
  <c r="E296" i="70"/>
  <c r="E295" i="70"/>
  <c r="E294" i="70"/>
  <c r="E291" i="70"/>
  <c r="E289" i="70"/>
  <c r="E288" i="70"/>
  <c r="E287" i="70"/>
  <c r="E286" i="70"/>
  <c r="E285" i="70"/>
  <c r="E279" i="70"/>
  <c r="E356" i="70"/>
  <c r="E37" i="2" l="1"/>
  <c r="F260" i="70"/>
  <c r="E258" i="70"/>
  <c r="E257" i="70"/>
  <c r="E254" i="70"/>
  <c r="E250" i="70"/>
  <c r="E240" i="70"/>
  <c r="E237" i="70"/>
  <c r="E217" i="70"/>
  <c r="E215" i="70"/>
  <c r="E214" i="70"/>
  <c r="E212" i="70"/>
  <c r="E207" i="70"/>
  <c r="E206" i="70"/>
  <c r="E265" i="70"/>
  <c r="E198" i="70"/>
  <c r="E197" i="70"/>
  <c r="E196" i="70"/>
  <c r="E193" i="70"/>
  <c r="E185" i="70"/>
  <c r="E184" i="70"/>
  <c r="E183" i="70"/>
  <c r="E182" i="70"/>
  <c r="E181" i="70"/>
  <c r="E180" i="70"/>
  <c r="E179" i="70"/>
  <c r="E172" i="70"/>
  <c r="E171" i="70"/>
  <c r="E170" i="70"/>
  <c r="E165" i="70"/>
  <c r="E164" i="70"/>
  <c r="E162" i="70"/>
  <c r="D186" i="70"/>
  <c r="E157" i="70"/>
  <c r="E156" i="70"/>
  <c r="E154" i="70"/>
  <c r="E153" i="70"/>
  <c r="E151" i="70"/>
  <c r="G148" i="70"/>
  <c r="F148" i="70"/>
  <c r="D148" i="70"/>
  <c r="E144" i="70"/>
  <c r="E142" i="70"/>
  <c r="E141" i="70"/>
  <c r="E139" i="70"/>
  <c r="E136" i="70"/>
  <c r="E135" i="70"/>
  <c r="E133" i="70"/>
  <c r="E122" i="70"/>
  <c r="E119" i="70"/>
  <c r="E107" i="70"/>
  <c r="J101" i="70"/>
  <c r="E100" i="70"/>
  <c r="J100" i="70" s="1"/>
  <c r="E99" i="70"/>
  <c r="J99" i="70" s="1"/>
  <c r="E98" i="70"/>
  <c r="J98" i="70" s="1"/>
  <c r="E97" i="70"/>
  <c r="E96" i="70"/>
  <c r="E95" i="70"/>
  <c r="E94" i="70"/>
  <c r="G81" i="70"/>
  <c r="F81" i="70"/>
  <c r="D81" i="70"/>
  <c r="D89" i="70"/>
  <c r="E51" i="70"/>
  <c r="E78" i="70"/>
  <c r="F89" i="70"/>
  <c r="E80" i="70"/>
  <c r="E85" i="70"/>
  <c r="E84" i="70"/>
  <c r="E77" i="70"/>
  <c r="E71" i="70"/>
  <c r="E79" i="70"/>
  <c r="E68" i="70"/>
  <c r="E67" i="70"/>
  <c r="E56" i="70"/>
  <c r="E55" i="70"/>
  <c r="E54" i="70"/>
  <c r="E53" i="70"/>
  <c r="E52" i="70"/>
  <c r="E40" i="70"/>
  <c r="E23" i="70"/>
  <c r="E24" i="70"/>
  <c r="E21" i="70"/>
  <c r="E20" i="70"/>
  <c r="E19" i="70"/>
  <c r="E18" i="70"/>
  <c r="E17" i="70"/>
  <c r="E16" i="70"/>
  <c r="E15" i="70"/>
  <c r="E14" i="70"/>
  <c r="E13" i="70"/>
  <c r="F65" i="5"/>
  <c r="E260" i="70" l="1"/>
  <c r="F90" i="70"/>
  <c r="E65" i="5"/>
  <c r="D90" i="70"/>
  <c r="E25" i="70"/>
  <c r="E81" i="70"/>
  <c r="E148" i="70"/>
  <c r="E117" i="70"/>
  <c r="G260" i="70" l="1"/>
  <c r="G36" i="72" l="1"/>
  <c r="F36" i="72"/>
  <c r="E36" i="72"/>
  <c r="D36" i="72"/>
  <c r="C36" i="72"/>
  <c r="G34" i="72"/>
  <c r="H34" i="72" s="1"/>
  <c r="F34" i="72"/>
  <c r="E34" i="72"/>
  <c r="D34" i="72"/>
  <c r="C34" i="72"/>
  <c r="F30" i="72"/>
  <c r="E30" i="72"/>
  <c r="D30" i="72"/>
  <c r="C30" i="72"/>
  <c r="I29" i="72"/>
  <c r="G29" i="72"/>
  <c r="I28" i="72"/>
  <c r="G28" i="72"/>
  <c r="I26" i="72"/>
  <c r="J26" i="72" s="1"/>
  <c r="I25" i="72"/>
  <c r="J25" i="72" s="1"/>
  <c r="I24" i="72"/>
  <c r="J24" i="72" s="1"/>
  <c r="I23" i="72"/>
  <c r="G23" i="72"/>
  <c r="I22" i="72"/>
  <c r="J22" i="72" s="1"/>
  <c r="I21" i="72"/>
  <c r="G21" i="72"/>
  <c r="I19" i="72"/>
  <c r="J19" i="72" s="1"/>
  <c r="I18" i="72"/>
  <c r="G18" i="72"/>
  <c r="I16" i="72"/>
  <c r="G16" i="72"/>
  <c r="I15" i="72"/>
  <c r="J15" i="72" s="1"/>
  <c r="I14" i="72"/>
  <c r="G14" i="72"/>
  <c r="I13" i="72"/>
  <c r="J13" i="72" s="1"/>
  <c r="A12" i="72"/>
  <c r="J18" i="72" l="1"/>
  <c r="J16" i="72"/>
  <c r="J29" i="72"/>
  <c r="J21" i="72"/>
  <c r="J23" i="72"/>
  <c r="C37" i="72"/>
  <c r="D37" i="72"/>
  <c r="E37" i="72"/>
  <c r="F37" i="72"/>
  <c r="J14" i="72"/>
  <c r="J28" i="72"/>
  <c r="G20" i="72"/>
  <c r="G17" i="72"/>
  <c r="G27" i="72" s="1"/>
  <c r="I12" i="72"/>
  <c r="G30" i="72" l="1"/>
  <c r="G37" i="72" s="1"/>
  <c r="I17" i="72"/>
  <c r="J17" i="72" s="1"/>
  <c r="I20" i="72"/>
  <c r="J20" i="72" s="1"/>
  <c r="J12" i="72"/>
  <c r="I27" i="72"/>
  <c r="J27" i="72" s="1"/>
  <c r="I30" i="72" l="1"/>
  <c r="J30" i="72" s="1"/>
  <c r="A12" i="71" l="1"/>
  <c r="C6" i="51" l="1"/>
  <c r="F47" i="71"/>
  <c r="E47" i="71"/>
  <c r="D47" i="71"/>
  <c r="C47" i="71"/>
  <c r="F6" i="51" l="1"/>
  <c r="F6" i="75"/>
  <c r="D5" i="51"/>
  <c r="H5" i="51" s="1"/>
  <c r="D5" i="75"/>
  <c r="H5" i="75" s="1"/>
  <c r="F48" i="71"/>
  <c r="E48" i="71"/>
  <c r="D48" i="71"/>
  <c r="C48" i="71"/>
  <c r="D6" i="75" l="1"/>
  <c r="C31" i="51"/>
  <c r="C28" i="51"/>
  <c r="C25" i="51"/>
  <c r="C15" i="51"/>
  <c r="H6" i="75" l="1"/>
  <c r="D6" i="51"/>
  <c r="H6" i="51" s="1"/>
  <c r="G48" i="71"/>
  <c r="L361" i="70"/>
  <c r="K361" i="70"/>
  <c r="J361" i="70"/>
  <c r="I361" i="70"/>
  <c r="H361" i="70"/>
  <c r="G353" i="70"/>
  <c r="F353" i="70"/>
  <c r="E353" i="70"/>
  <c r="D353" i="70"/>
  <c r="C353" i="70"/>
  <c r="G345" i="70"/>
  <c r="F345" i="70"/>
  <c r="E345" i="70"/>
  <c r="D345" i="70"/>
  <c r="C345" i="70"/>
  <c r="G341" i="70"/>
  <c r="F341" i="70"/>
  <c r="E341" i="70"/>
  <c r="D341" i="70"/>
  <c r="C341" i="70"/>
  <c r="G338" i="70"/>
  <c r="F338" i="70"/>
  <c r="E338" i="70"/>
  <c r="D338" i="70"/>
  <c r="C338" i="70"/>
  <c r="G335" i="70"/>
  <c r="F335" i="70"/>
  <c r="E335" i="70"/>
  <c r="D335" i="70"/>
  <c r="C335" i="70"/>
  <c r="F332" i="70"/>
  <c r="E332" i="70"/>
  <c r="D332" i="70"/>
  <c r="C332" i="70"/>
  <c r="E323" i="70"/>
  <c r="D323" i="70"/>
  <c r="C323" i="70"/>
  <c r="G314" i="70"/>
  <c r="E314" i="70"/>
  <c r="D314" i="70"/>
  <c r="C314" i="70"/>
  <c r="E307" i="70"/>
  <c r="D307" i="70"/>
  <c r="C307" i="70"/>
  <c r="F282" i="70"/>
  <c r="E282" i="70"/>
  <c r="D282" i="70"/>
  <c r="C282" i="70"/>
  <c r="G268" i="70"/>
  <c r="G269" i="70" s="1"/>
  <c r="F268" i="70"/>
  <c r="F269" i="70" s="1"/>
  <c r="E268" i="70"/>
  <c r="E269" i="70" s="1"/>
  <c r="D268" i="70"/>
  <c r="D269" i="70" s="1"/>
  <c r="C268" i="70"/>
  <c r="C269" i="70" s="1"/>
  <c r="J267" i="70"/>
  <c r="J266" i="70"/>
  <c r="J265" i="70"/>
  <c r="J264" i="70"/>
  <c r="D260" i="70"/>
  <c r="C260" i="70"/>
  <c r="J250" i="70"/>
  <c r="G248" i="70"/>
  <c r="F248" i="70"/>
  <c r="E248" i="70"/>
  <c r="D248" i="70"/>
  <c r="C248" i="70"/>
  <c r="J237" i="70"/>
  <c r="G235" i="70"/>
  <c r="F235" i="70"/>
  <c r="E235" i="70"/>
  <c r="D235" i="70"/>
  <c r="C235" i="70"/>
  <c r="J217" i="70"/>
  <c r="J216" i="70"/>
  <c r="J215" i="70"/>
  <c r="J214" i="70"/>
  <c r="J213" i="70"/>
  <c r="J212" i="70"/>
  <c r="J205" i="70"/>
  <c r="J203" i="70"/>
  <c r="G199" i="70"/>
  <c r="F199" i="70"/>
  <c r="E199" i="70"/>
  <c r="D199" i="70"/>
  <c r="C199" i="70"/>
  <c r="G190" i="70"/>
  <c r="F190" i="70"/>
  <c r="E190" i="70"/>
  <c r="D190" i="70"/>
  <c r="C190" i="70"/>
  <c r="G186" i="70"/>
  <c r="F186" i="70"/>
  <c r="E186" i="70"/>
  <c r="C186" i="70"/>
  <c r="J184" i="70"/>
  <c r="J183" i="70"/>
  <c r="J182" i="70"/>
  <c r="J181" i="70"/>
  <c r="J180" i="70"/>
  <c r="J179" i="70"/>
  <c r="G176" i="70"/>
  <c r="F176" i="70"/>
  <c r="E176" i="70"/>
  <c r="D176" i="70"/>
  <c r="C176" i="70"/>
  <c r="J168" i="70"/>
  <c r="G166" i="70"/>
  <c r="F166" i="70"/>
  <c r="E166" i="70"/>
  <c r="D166" i="70"/>
  <c r="C166" i="70"/>
  <c r="J165" i="70"/>
  <c r="J163" i="70"/>
  <c r="J162" i="70"/>
  <c r="G158" i="70"/>
  <c r="F158" i="70"/>
  <c r="E158" i="70"/>
  <c r="D158" i="70"/>
  <c r="C158" i="70"/>
  <c r="J150" i="70"/>
  <c r="C148" i="70"/>
  <c r="J139" i="70"/>
  <c r="J136" i="70"/>
  <c r="J134" i="70"/>
  <c r="J133" i="70"/>
  <c r="J132" i="70"/>
  <c r="G128" i="70"/>
  <c r="F128" i="70"/>
  <c r="E128" i="70"/>
  <c r="D128" i="70"/>
  <c r="C128" i="70"/>
  <c r="G117" i="70"/>
  <c r="F117" i="70"/>
  <c r="D117" i="70"/>
  <c r="C117" i="70"/>
  <c r="J97" i="70"/>
  <c r="J96" i="70"/>
  <c r="J95" i="70"/>
  <c r="J94" i="70"/>
  <c r="J93" i="70"/>
  <c r="G89" i="70"/>
  <c r="E89" i="70"/>
  <c r="C89" i="70"/>
  <c r="J83" i="70"/>
  <c r="C81" i="70"/>
  <c r="J50" i="70"/>
  <c r="G46" i="70"/>
  <c r="F46" i="70"/>
  <c r="E46" i="70"/>
  <c r="D46" i="70"/>
  <c r="C46" i="70"/>
  <c r="J29" i="70"/>
  <c r="G25" i="70"/>
  <c r="F25" i="70"/>
  <c r="D25" i="70"/>
  <c r="C25" i="70"/>
  <c r="J24" i="70"/>
  <c r="J23" i="70"/>
  <c r="J21" i="70"/>
  <c r="J20" i="70"/>
  <c r="J18" i="70"/>
  <c r="J17" i="70"/>
  <c r="J16" i="70"/>
  <c r="J15" i="70"/>
  <c r="J14" i="70"/>
  <c r="J13" i="70"/>
  <c r="D70" i="51" l="1"/>
  <c r="D60" i="75"/>
  <c r="D63" i="75" s="1"/>
  <c r="H314" i="70"/>
  <c r="H353" i="70"/>
  <c r="G159" i="70"/>
  <c r="C159" i="70"/>
  <c r="C129" i="70"/>
  <c r="E261" i="70"/>
  <c r="F47" i="70"/>
  <c r="G47" i="70"/>
  <c r="C47" i="70"/>
  <c r="E47" i="70"/>
  <c r="D47" i="70"/>
  <c r="G191" i="70"/>
  <c r="C261" i="70"/>
  <c r="D261" i="70"/>
  <c r="G261" i="70"/>
  <c r="G90" i="70"/>
  <c r="F261" i="70"/>
  <c r="D191" i="70"/>
  <c r="C90" i="70"/>
  <c r="D129" i="70"/>
  <c r="F129" i="70"/>
  <c r="E159" i="70"/>
  <c r="E191" i="70"/>
  <c r="G129" i="70"/>
  <c r="D159" i="70"/>
  <c r="F191" i="70"/>
  <c r="E90" i="70"/>
  <c r="F159" i="70"/>
  <c r="C191" i="70"/>
  <c r="F80" i="68"/>
  <c r="E80" i="68"/>
  <c r="C80" i="68"/>
  <c r="A12" i="68"/>
  <c r="D73" i="51" l="1"/>
  <c r="D75" i="51" s="1"/>
  <c r="F81" i="68"/>
  <c r="G276" i="70"/>
  <c r="C276" i="70"/>
  <c r="C354" i="70" s="1"/>
  <c r="C357" i="70" s="1"/>
  <c r="D276" i="70"/>
  <c r="D354" i="70" s="1"/>
  <c r="D357" i="70" s="1"/>
  <c r="F276" i="70"/>
  <c r="F354" i="70" s="1"/>
  <c r="C81" i="68"/>
  <c r="D81" i="68"/>
  <c r="E81" i="68"/>
  <c r="A12" i="66"/>
  <c r="F357" i="70" l="1"/>
  <c r="I354" i="70"/>
  <c r="F49" i="66"/>
  <c r="D49" i="66"/>
  <c r="E49" i="66"/>
  <c r="C49" i="66"/>
  <c r="F83" i="65"/>
  <c r="E83" i="65"/>
  <c r="D83" i="65"/>
  <c r="C83" i="65"/>
  <c r="F28" i="51" l="1"/>
  <c r="F28" i="75"/>
  <c r="D15" i="51"/>
  <c r="H15" i="51" s="1"/>
  <c r="D15" i="75"/>
  <c r="H15" i="75" s="1"/>
  <c r="G81" i="68"/>
  <c r="D84" i="65"/>
  <c r="C84" i="65"/>
  <c r="E84" i="65"/>
  <c r="F84" i="65"/>
  <c r="A12" i="64"/>
  <c r="D28" i="51" l="1"/>
  <c r="H28" i="51" s="1"/>
  <c r="C46" i="64"/>
  <c r="D46" i="64"/>
  <c r="F46" i="64"/>
  <c r="E46" i="64"/>
  <c r="D28" i="75" l="1"/>
  <c r="H28" i="75" s="1"/>
  <c r="G84" i="65"/>
  <c r="D25" i="51" l="1"/>
  <c r="H25" i="51" s="1"/>
  <c r="D25" i="75"/>
  <c r="H25" i="75" s="1"/>
  <c r="C39" i="51"/>
  <c r="C38" i="51"/>
  <c r="C37" i="51"/>
  <c r="C36" i="51"/>
  <c r="C34" i="51"/>
  <c r="C33" i="51"/>
  <c r="C30" i="51"/>
  <c r="C29" i="51"/>
  <c r="C27" i="51"/>
  <c r="C26" i="51"/>
  <c r="C24" i="51"/>
  <c r="C23" i="51"/>
  <c r="C22" i="51"/>
  <c r="C21" i="51"/>
  <c r="C20" i="51"/>
  <c r="C19" i="51"/>
  <c r="C18" i="51"/>
  <c r="C17" i="51"/>
  <c r="C16" i="51"/>
  <c r="C14" i="51"/>
  <c r="C13" i="51"/>
  <c r="C12" i="51"/>
  <c r="C11" i="51"/>
  <c r="C10" i="51"/>
  <c r="C9" i="51"/>
  <c r="C8" i="51"/>
  <c r="C7" i="51"/>
  <c r="C44" i="51" l="1"/>
  <c r="E23" i="75"/>
  <c r="E23" i="51" l="1"/>
  <c r="A12" i="27" l="1"/>
  <c r="A12" i="28"/>
  <c r="A12" i="31"/>
  <c r="A12" i="32"/>
  <c r="A12" i="61"/>
  <c r="A12" i="54"/>
  <c r="A12" i="53"/>
  <c r="A12" i="63"/>
  <c r="A12" i="39"/>
  <c r="A12" i="24"/>
  <c r="A12" i="22"/>
  <c r="A12" i="21"/>
  <c r="A12" i="20"/>
  <c r="A12" i="19"/>
  <c r="A12" i="18"/>
  <c r="A12" i="17"/>
  <c r="A12" i="40"/>
  <c r="A12" i="13"/>
  <c r="A12" i="10"/>
  <c r="A12" i="11"/>
  <c r="A12" i="9"/>
  <c r="A12" i="8"/>
  <c r="A12" i="7"/>
  <c r="A12" i="6"/>
  <c r="A12" i="5"/>
  <c r="A12" i="4"/>
  <c r="A12" i="2"/>
  <c r="A12" i="15"/>
  <c r="D47" i="8" l="1"/>
  <c r="E47" i="8"/>
  <c r="F47" i="8"/>
  <c r="C47" i="8"/>
  <c r="D55" i="18"/>
  <c r="E55" i="18"/>
  <c r="F55" i="18"/>
  <c r="C55" i="18"/>
  <c r="D44" i="63" l="1"/>
  <c r="C44" i="63"/>
  <c r="E44" i="63"/>
  <c r="F44" i="63"/>
  <c r="H34" i="54" l="1"/>
  <c r="D34" i="51" l="1"/>
  <c r="H34" i="51" s="1"/>
  <c r="D34" i="75"/>
  <c r="H34" i="75" s="1"/>
  <c r="D37" i="51"/>
  <c r="H37" i="51" s="1"/>
  <c r="D36" i="75"/>
  <c r="H36" i="75" s="1"/>
  <c r="D38" i="51"/>
  <c r="D37" i="75"/>
  <c r="D8" i="75"/>
  <c r="D29" i="51" l="1"/>
  <c r="D29" i="75"/>
  <c r="D33" i="51"/>
  <c r="D33" i="75"/>
  <c r="D26" i="51"/>
  <c r="H26" i="51" s="1"/>
  <c r="D26" i="75"/>
  <c r="H26" i="75" s="1"/>
  <c r="D19" i="51"/>
  <c r="H19" i="51" s="1"/>
  <c r="D19" i="75"/>
  <c r="H19" i="75" s="1"/>
  <c r="D30" i="51"/>
  <c r="H30" i="51" s="1"/>
  <c r="D30" i="75"/>
  <c r="H30" i="75" s="1"/>
  <c r="D36" i="51"/>
  <c r="H36" i="51" s="1"/>
  <c r="D35" i="75"/>
  <c r="H35" i="75" s="1"/>
  <c r="D27" i="51"/>
  <c r="D27" i="75"/>
  <c r="D13" i="51"/>
  <c r="H13" i="51" s="1"/>
  <c r="D13" i="75"/>
  <c r="H13" i="75" s="1"/>
  <c r="D23" i="51"/>
  <c r="D23" i="75"/>
  <c r="D17" i="51"/>
  <c r="H17" i="51" s="1"/>
  <c r="D17" i="75"/>
  <c r="H17" i="75" s="1"/>
  <c r="D8" i="51"/>
  <c r="D9" i="51" l="1"/>
  <c r="D9" i="75"/>
  <c r="D10" i="51"/>
  <c r="D10" i="75"/>
  <c r="C13" i="62"/>
  <c r="D13" i="62"/>
  <c r="E13" i="62"/>
  <c r="F13" i="62"/>
  <c r="F73" i="4"/>
  <c r="F24" i="51" l="1"/>
  <c r="E9" i="75" l="1"/>
  <c r="E9" i="51"/>
  <c r="H9" i="51" s="1"/>
  <c r="C46" i="62"/>
  <c r="D46" i="62"/>
  <c r="E46" i="62"/>
  <c r="F46" i="62"/>
  <c r="G13" i="62"/>
  <c r="G46" i="62" s="1"/>
  <c r="H9" i="75" l="1"/>
  <c r="E7" i="51" l="1"/>
  <c r="E7" i="75"/>
  <c r="F7" i="51"/>
  <c r="F42" i="61"/>
  <c r="D42" i="61"/>
  <c r="C42" i="61"/>
  <c r="E42" i="61" l="1"/>
  <c r="G42" i="61" l="1"/>
  <c r="E38" i="37"/>
  <c r="D38" i="37"/>
  <c r="C38" i="37"/>
  <c r="F38" i="37"/>
  <c r="C22" i="37" l="1"/>
  <c r="D22" i="37"/>
  <c r="E22" i="37"/>
  <c r="F22" i="37"/>
  <c r="I51" i="18" l="1"/>
  <c r="E10" i="51" l="1"/>
  <c r="E33" i="51" l="1"/>
  <c r="D44" i="28"/>
  <c r="E44" i="28"/>
  <c r="F44" i="28"/>
  <c r="F27" i="51" l="1"/>
  <c r="H27" i="51" s="1"/>
  <c r="F27" i="75"/>
  <c r="H27" i="75" s="1"/>
  <c r="D64" i="21"/>
  <c r="F64" i="21"/>
  <c r="C64" i="21"/>
  <c r="D49" i="13"/>
  <c r="F49" i="13"/>
  <c r="D50" i="11"/>
  <c r="E50" i="11"/>
  <c r="F50" i="11"/>
  <c r="G50" i="11"/>
  <c r="E14" i="51"/>
  <c r="F14" i="51" l="1"/>
  <c r="F14" i="75"/>
  <c r="F22" i="51"/>
  <c r="F22" i="75"/>
  <c r="F23" i="51"/>
  <c r="H23" i="51" s="1"/>
  <c r="F23" i="75"/>
  <c r="H23" i="75" s="1"/>
  <c r="F45" i="24"/>
  <c r="D45" i="24"/>
  <c r="D65" i="21"/>
  <c r="F65" i="21"/>
  <c r="D51" i="11"/>
  <c r="F51" i="11"/>
  <c r="D73" i="4"/>
  <c r="C73" i="4"/>
  <c r="D93" i="2"/>
  <c r="F93" i="2"/>
  <c r="C93" i="2"/>
  <c r="D74" i="4" l="1"/>
  <c r="F8" i="75" l="1"/>
  <c r="H8" i="75" s="1"/>
  <c r="G25" i="16"/>
  <c r="F32" i="51" l="1"/>
  <c r="H32" i="51" s="1"/>
  <c r="F32" i="75"/>
  <c r="H32" i="75" s="1"/>
  <c r="F33" i="51"/>
  <c r="H33" i="51" s="1"/>
  <c r="F33" i="75"/>
  <c r="H33" i="75" s="1"/>
  <c r="F8" i="51"/>
  <c r="H8" i="51" s="1"/>
  <c r="G66" i="5"/>
  <c r="G25" i="30"/>
  <c r="F46" i="54" l="1"/>
  <c r="E46" i="54"/>
  <c r="D46" i="54"/>
  <c r="C46" i="54"/>
  <c r="G46" i="54" l="1"/>
  <c r="C135" i="51" l="1"/>
  <c r="A5" i="5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D18" i="51" l="1"/>
  <c r="D18" i="75" l="1"/>
  <c r="H18" i="75" s="1"/>
  <c r="D12" i="75" l="1"/>
  <c r="H12" i="75" s="1"/>
  <c r="G46" i="9"/>
  <c r="D12" i="51"/>
  <c r="H12" i="51" s="1"/>
  <c r="C45" i="24"/>
  <c r="D20" i="51" l="1"/>
  <c r="H20" i="51" s="1"/>
  <c r="E49" i="13"/>
  <c r="E64" i="21"/>
  <c r="E73" i="4"/>
  <c r="D20" i="75" l="1"/>
  <c r="H20" i="75" s="1"/>
  <c r="H22" i="51"/>
  <c r="D22" i="75"/>
  <c r="H22" i="75" s="1"/>
  <c r="D24" i="51"/>
  <c r="H24" i="51" s="1"/>
  <c r="D24" i="75"/>
  <c r="H24" i="75" s="1"/>
  <c r="D14" i="51"/>
  <c r="H14" i="51" s="1"/>
  <c r="D14" i="75"/>
  <c r="H14" i="75" s="1"/>
  <c r="G48" i="8"/>
  <c r="D11" i="51" l="1"/>
  <c r="H11" i="51" s="1"/>
  <c r="D11" i="75"/>
  <c r="H11" i="75" s="1"/>
  <c r="E74" i="4" l="1"/>
  <c r="C49" i="40" l="1"/>
  <c r="F49" i="40"/>
  <c r="E49" i="40"/>
  <c r="D49" i="40"/>
  <c r="G48" i="10" l="1"/>
  <c r="G51" i="11"/>
  <c r="G49" i="40"/>
  <c r="D47" i="39" l="1"/>
  <c r="C47" i="39"/>
  <c r="G45" i="24" l="1"/>
  <c r="G50" i="17"/>
  <c r="G47" i="39"/>
  <c r="G39" i="31" l="1"/>
  <c r="E29" i="75" l="1"/>
  <c r="E29" i="51"/>
  <c r="H29" i="51" l="1"/>
  <c r="H29" i="75"/>
  <c r="C65" i="5"/>
  <c r="C47" i="10" l="1"/>
  <c r="E51" i="11" l="1"/>
  <c r="F88" i="6"/>
  <c r="E36" i="32" l="1"/>
  <c r="D46" i="9"/>
  <c r="E46" i="9"/>
  <c r="F46" i="9" l="1"/>
  <c r="D38" i="31" l="1"/>
  <c r="D39" i="31" s="1"/>
  <c r="E38" i="31"/>
  <c r="E39" i="31" s="1"/>
  <c r="F38" i="31"/>
  <c r="F39" i="31" s="1"/>
  <c r="C38" i="31"/>
  <c r="D24" i="30"/>
  <c r="E24" i="30"/>
  <c r="F24" i="30"/>
  <c r="C24" i="30"/>
  <c r="C44" i="28"/>
  <c r="D90" i="19"/>
  <c r="E90" i="19"/>
  <c r="D49" i="17"/>
  <c r="D50" i="17" s="1"/>
  <c r="E49" i="17"/>
  <c r="E50" i="17" s="1"/>
  <c r="F49" i="17"/>
  <c r="F50" i="17" s="1"/>
  <c r="C49" i="17"/>
  <c r="C49" i="13"/>
  <c r="D50" i="13"/>
  <c r="E50" i="13"/>
  <c r="F50" i="13"/>
  <c r="C50" i="11"/>
  <c r="D49" i="7"/>
  <c r="D50" i="7" s="1"/>
  <c r="E49" i="7"/>
  <c r="E50" i="7" s="1"/>
  <c r="F49" i="7"/>
  <c r="F50" i="7" s="1"/>
  <c r="G49" i="7"/>
  <c r="C49" i="7"/>
  <c r="C50" i="7" s="1"/>
  <c r="D65" i="5"/>
  <c r="F10" i="75" l="1"/>
  <c r="F43" i="75" s="1"/>
  <c r="G50" i="7"/>
  <c r="F10" i="51"/>
  <c r="C50" i="17"/>
  <c r="G18" i="51"/>
  <c r="H18" i="51" s="1"/>
  <c r="I55" i="15"/>
  <c r="F90" i="19"/>
  <c r="F36" i="32"/>
  <c r="F66" i="5"/>
  <c r="F48" i="10"/>
  <c r="E25" i="30"/>
  <c r="D25" i="30"/>
  <c r="C39" i="31"/>
  <c r="C25" i="30"/>
  <c r="D45" i="28"/>
  <c r="C45" i="28"/>
  <c r="G45" i="28"/>
  <c r="F45" i="28"/>
  <c r="E45" i="28"/>
  <c r="D50" i="27"/>
  <c r="C50" i="27"/>
  <c r="G50" i="27"/>
  <c r="F50" i="27"/>
  <c r="E50" i="27"/>
  <c r="C62" i="22"/>
  <c r="D62" i="22"/>
  <c r="C65" i="21"/>
  <c r="F56" i="18"/>
  <c r="E56" i="18"/>
  <c r="C56" i="18"/>
  <c r="D56" i="18"/>
  <c r="F61" i="15"/>
  <c r="E61" i="15"/>
  <c r="C61" i="15"/>
  <c r="D61" i="15"/>
  <c r="C50" i="13"/>
  <c r="C51" i="11"/>
  <c r="E48" i="10"/>
  <c r="C48" i="10"/>
  <c r="D48" i="10"/>
  <c r="C46" i="9"/>
  <c r="F48" i="8"/>
  <c r="E48" i="8"/>
  <c r="C48" i="8"/>
  <c r="D48" i="8"/>
  <c r="E88" i="6"/>
  <c r="D88" i="6"/>
  <c r="C88" i="6"/>
  <c r="G88" i="6"/>
  <c r="E66" i="5"/>
  <c r="D66" i="5"/>
  <c r="C66" i="5"/>
  <c r="F25" i="16"/>
  <c r="E25" i="16"/>
  <c r="D25" i="16"/>
  <c r="C25" i="16"/>
  <c r="D36" i="32"/>
  <c r="C36" i="32"/>
  <c r="H10" i="75" l="1"/>
  <c r="H10" i="51"/>
  <c r="F44" i="51"/>
  <c r="G44" i="51"/>
  <c r="C74" i="4"/>
  <c r="F25" i="30" l="1"/>
  <c r="G36" i="32" l="1"/>
  <c r="F47" i="39"/>
  <c r="E47" i="39" l="1"/>
  <c r="E93" i="2" l="1"/>
  <c r="E62" i="22" l="1"/>
  <c r="F62" i="22"/>
  <c r="E65" i="21" l="1"/>
  <c r="D4" i="75" l="1"/>
  <c r="H4" i="75" s="1"/>
  <c r="H4" i="51" l="1"/>
  <c r="G93" i="2"/>
  <c r="D39" i="51" l="1"/>
  <c r="H39" i="51" s="1"/>
  <c r="D38" i="75" l="1"/>
  <c r="H38" i="75" s="1"/>
  <c r="G44" i="63"/>
  <c r="D31" i="51" l="1"/>
  <c r="H31" i="51" s="1"/>
  <c r="D31" i="75"/>
  <c r="H31" i="75" s="1"/>
  <c r="G49" i="66"/>
  <c r="D16" i="51" l="1"/>
  <c r="H16" i="51" s="1"/>
  <c r="D16" i="75"/>
  <c r="H16" i="75" s="1"/>
  <c r="D21" i="51" l="1"/>
  <c r="H21" i="51" s="1"/>
  <c r="D21" i="75"/>
  <c r="H21" i="75" s="1"/>
  <c r="G90" i="19"/>
  <c r="G50" i="13"/>
  <c r="D7" i="51" l="1"/>
  <c r="H7" i="51" s="1"/>
  <c r="D7" i="75"/>
  <c r="D44" i="51" l="1"/>
  <c r="H7" i="75"/>
  <c r="D43" i="75"/>
  <c r="G74" i="4"/>
  <c r="E129" i="70" l="1"/>
  <c r="E276" i="70" s="1"/>
  <c r="E354" i="70" s="1"/>
  <c r="E357" i="70" s="1"/>
  <c r="F74" i="4"/>
  <c r="G354" i="70"/>
  <c r="G357" i="70" s="1"/>
  <c r="G61" i="15"/>
  <c r="E32" i="24"/>
  <c r="E45" i="24" l="1"/>
  <c r="E38" i="51" l="1"/>
  <c r="E44" i="51" s="1"/>
  <c r="I44" i="51" s="1"/>
  <c r="E37" i="75"/>
  <c r="H37" i="75" s="1"/>
  <c r="H43" i="75" s="1"/>
  <c r="G54" i="53"/>
  <c r="I44" i="75" l="1"/>
  <c r="I43" i="75"/>
  <c r="H38" i="51"/>
  <c r="E43" i="75"/>
  <c r="I38" i="75" s="1"/>
  <c r="H44" i="51" l="1"/>
  <c r="I45" i="51" s="1"/>
  <c r="C54" i="53"/>
  <c r="F54" i="53"/>
  <c r="E54" i="53"/>
  <c r="D54" i="53"/>
  <c r="I66" i="51" l="1"/>
</calcChain>
</file>

<file path=xl/sharedStrings.xml><?xml version="1.0" encoding="utf-8"?>
<sst xmlns="http://schemas.openxmlformats.org/spreadsheetml/2006/main" count="4839" uniqueCount="1144">
  <si>
    <t>OFFICE OF THE CITY MAYOR</t>
  </si>
  <si>
    <t>Object of Expenditure</t>
  </si>
  <si>
    <t>Account Code</t>
  </si>
  <si>
    <t>Total</t>
  </si>
  <si>
    <t>Personal Services</t>
  </si>
  <si>
    <t>Salaries and Wages</t>
  </si>
  <si>
    <t>5-01-01-010</t>
  </si>
  <si>
    <t>Other Compensation</t>
  </si>
  <si>
    <t>Personal Economic Relief Allowance (PERA)</t>
  </si>
  <si>
    <t>5-01-02-010</t>
  </si>
  <si>
    <t>Hazard Pay</t>
  </si>
  <si>
    <t>Representation Allowance (RA)</t>
  </si>
  <si>
    <t>5-01-02-020</t>
  </si>
  <si>
    <t>Transportation Allowance (TA)</t>
  </si>
  <si>
    <t>5-01-02-030</t>
  </si>
  <si>
    <t>Clothing/Uniform Allowance</t>
  </si>
  <si>
    <t>5-01-02-040</t>
  </si>
  <si>
    <t>Year End Bonus</t>
  </si>
  <si>
    <t>5-01-02-140</t>
  </si>
  <si>
    <t>Cash Gift</t>
  </si>
  <si>
    <t>5-01-02-150</t>
  </si>
  <si>
    <t>Personnel Benefit Contributions</t>
  </si>
  <si>
    <t>Retirement and Life Insurance Premiums</t>
  </si>
  <si>
    <t>5-01-03-010</t>
  </si>
  <si>
    <t>Pag-IBIG Contributions</t>
  </si>
  <si>
    <t>5-01-03-020</t>
  </si>
  <si>
    <t>PhilHealth Contributions</t>
  </si>
  <si>
    <t>5-01-03-030</t>
  </si>
  <si>
    <t>Employees Compensation Insurance Premiums</t>
  </si>
  <si>
    <t>5-01-03-040</t>
  </si>
  <si>
    <t>Other Personnel Benefits</t>
  </si>
  <si>
    <t>Terminal Leave Benefits</t>
  </si>
  <si>
    <t>5-01-04-030</t>
  </si>
  <si>
    <t>5-01-04-990</t>
  </si>
  <si>
    <t>Total Personal Services</t>
  </si>
  <si>
    <t>Maintenance and Other Operating Expenses</t>
  </si>
  <si>
    <t>Advertising Expenses</t>
  </si>
  <si>
    <t>Printing and Publication</t>
  </si>
  <si>
    <t>Representation Expenses</t>
  </si>
  <si>
    <t>Membership Dues and Contributions to Organizations</t>
  </si>
  <si>
    <t>Subscription Expenses</t>
  </si>
  <si>
    <t>Donations</t>
  </si>
  <si>
    <t>Other Maintenance and Operating Expenses</t>
  </si>
  <si>
    <t>05-02-99-990</t>
  </si>
  <si>
    <t>Traveling Expenses</t>
  </si>
  <si>
    <t>Traveling Expenses - Local</t>
  </si>
  <si>
    <t>5-02-01-010</t>
  </si>
  <si>
    <t>Training and Scholarship Expenses</t>
  </si>
  <si>
    <t>Training Expenses</t>
  </si>
  <si>
    <t>5-02-02-010</t>
  </si>
  <si>
    <t>Supplies and Materials Expenses</t>
  </si>
  <si>
    <t>Office Supplies Expenses</t>
  </si>
  <si>
    <t>5-02-03-010</t>
  </si>
  <si>
    <t>Fuel, Oil and Lubricants Expenses</t>
  </si>
  <si>
    <t>5-02-03-090</t>
  </si>
  <si>
    <t>Utility Expenses</t>
  </si>
  <si>
    <t>Water Expenses</t>
  </si>
  <si>
    <t>5-02-04-010</t>
  </si>
  <si>
    <t>Communication Expenses</t>
  </si>
  <si>
    <t>Postage and Courier Services</t>
  </si>
  <si>
    <t>5-02-05-010</t>
  </si>
  <si>
    <t>Telephone Expenses</t>
  </si>
  <si>
    <t>5-02-05-020</t>
  </si>
  <si>
    <t>Internet Subscription Expenses</t>
  </si>
  <si>
    <t>5-02-05-030</t>
  </si>
  <si>
    <t>Cable, Satellite, Telegraph and Radio Expenses</t>
  </si>
  <si>
    <t>5-02-05-040</t>
  </si>
  <si>
    <t>Awards/Rewards Expenses</t>
  </si>
  <si>
    <t>5-02-06-010</t>
  </si>
  <si>
    <t>Confidential, Intelligence and Extraordinary Expenses</t>
  </si>
  <si>
    <t>Confidential Expenses</t>
  </si>
  <si>
    <t>5-02-10-010</t>
  </si>
  <si>
    <t>Extraordinary and Miscellaneous Expenses</t>
  </si>
  <si>
    <t>5-02-10-030</t>
  </si>
  <si>
    <t>Professional Services</t>
  </si>
  <si>
    <t>Auditing Services</t>
  </si>
  <si>
    <t>5-02-11-020</t>
  </si>
  <si>
    <t>Other Professional Services</t>
  </si>
  <si>
    <t>5-02-11-990</t>
  </si>
  <si>
    <t>General Services</t>
  </si>
  <si>
    <t>Other General Services</t>
  </si>
  <si>
    <t>5-02-12-990</t>
  </si>
  <si>
    <t>Repairs and Maintenance</t>
  </si>
  <si>
    <t>Financial Assistance / Subsidy</t>
  </si>
  <si>
    <t>Subsidy to NGAs</t>
  </si>
  <si>
    <t>5-02-14-020</t>
  </si>
  <si>
    <t>Total Maintenance and Other Operating Expenses</t>
  </si>
  <si>
    <t>Financial Expenses</t>
  </si>
  <si>
    <t>Capital Outlay</t>
  </si>
  <si>
    <t>Infrastructure Assets</t>
  </si>
  <si>
    <t>Other Infrastructure Assets</t>
  </si>
  <si>
    <t>1-07-03-990</t>
  </si>
  <si>
    <t>Machinery and Equipment</t>
  </si>
  <si>
    <t>Machinery</t>
  </si>
  <si>
    <t>1-07-05-010</t>
  </si>
  <si>
    <t>Office Equipment</t>
  </si>
  <si>
    <t>1-07-05-020</t>
  </si>
  <si>
    <t>Information and Communication Technology Equipment</t>
  </si>
  <si>
    <t>1-07-05-030</t>
  </si>
  <si>
    <t>Communication Equipment</t>
  </si>
  <si>
    <t>1-07-05-070</t>
  </si>
  <si>
    <t>Transportation Equipment</t>
  </si>
  <si>
    <t>Motor Vehicles</t>
  </si>
  <si>
    <t>1-07-06-010</t>
  </si>
  <si>
    <t>Furniture, Fixtures and Books</t>
  </si>
  <si>
    <t>Furniture and Fixtures</t>
  </si>
  <si>
    <t>1-07-07-010</t>
  </si>
  <si>
    <t>Other Property, Plant and Equipment</t>
  </si>
  <si>
    <t>1-07-99-990</t>
  </si>
  <si>
    <t>Intangible Assets</t>
  </si>
  <si>
    <t>Computer Software</t>
  </si>
  <si>
    <t>1-09-01-020</t>
  </si>
  <si>
    <t>Total Capital Outlay</t>
  </si>
  <si>
    <t>TOTAL APPROPRIATIONS</t>
  </si>
  <si>
    <t>OFFICE OF THE CITY ADMINISTRATOR</t>
  </si>
  <si>
    <t>5-02-13-990</t>
  </si>
  <si>
    <t>Repairs and Maintenance - Other Property, Plant and Equipment</t>
  </si>
  <si>
    <t>5-02-13-060</t>
  </si>
  <si>
    <t>Repairs and Maintenance - Transportation Equipment</t>
  </si>
  <si>
    <t>5-02-13-050</t>
  </si>
  <si>
    <t>Repairs and Maintenance - Machinery and Equipment</t>
  </si>
  <si>
    <t>5-01-01-020</t>
  </si>
  <si>
    <t>OFFICE OF THE CITY VICE-MAYOR</t>
  </si>
  <si>
    <t>OFFICE OF THE SANGGUNIANG PANLUNGSOD MEMBERS</t>
  </si>
  <si>
    <t>OFFICE OF THE SECRETARY TO THE SANGGUNIANG PANLUNGSOD</t>
  </si>
  <si>
    <t>5-01-02-130</t>
  </si>
  <si>
    <t>Overtime and Night Pay</t>
  </si>
  <si>
    <t>OFFICE OF THE CITY HUMAN RESOURCE MANAGEMENT OFFICER</t>
  </si>
  <si>
    <t>OFFICE OF THE CITY PLANNING AND DEVELOPMENT COORDINATOR</t>
  </si>
  <si>
    <t>OFFICE OF THE CITY ZONING ADMINISTRATOR</t>
  </si>
  <si>
    <t>BARANGAY AFFAIRS AND PUBLIC ASSISTANCE SECTION</t>
  </si>
  <si>
    <t>OFFICE OF THE CITY CIVIL REGISTRAR</t>
  </si>
  <si>
    <t>5-02-13-070</t>
  </si>
  <si>
    <t>Repairs and Maintenance - Furniture and Fixtures</t>
  </si>
  <si>
    <t>5-02-13-010</t>
  </si>
  <si>
    <t>Repairs and Maintenance - Investment Property</t>
  </si>
  <si>
    <t>5-02-04-020</t>
  </si>
  <si>
    <t>Electricity Expenses</t>
  </si>
  <si>
    <t>5-02-03-990</t>
  </si>
  <si>
    <t>Other Supplies and Materials Expenses</t>
  </si>
  <si>
    <t>Insurance Expenses</t>
  </si>
  <si>
    <t>Fidelity Bond Premiums</t>
  </si>
  <si>
    <t>Taxes, Duties and Licences</t>
  </si>
  <si>
    <t>OFFICE OF THE CITY GENERAL SERVICES OFFICER</t>
  </si>
  <si>
    <t>OFFICE OF THE CITY BUDGET OFFICER</t>
  </si>
  <si>
    <t>OFFICE OF THE CITY ACCOUNTANT</t>
  </si>
  <si>
    <t>Other Financial Charges</t>
  </si>
  <si>
    <t>5-02-03-020</t>
  </si>
  <si>
    <t>Accountable Form Expenses</t>
  </si>
  <si>
    <t>OFFICE OF THE CITY TREASURER</t>
  </si>
  <si>
    <t>BIDS AND AWARD COMMITTEE (BAC)</t>
  </si>
  <si>
    <t>BUSINESS PERMITS AND LICENSING SECTION</t>
  </si>
  <si>
    <t>OFFICE OF THE CITY ASSESSOR</t>
  </si>
  <si>
    <t>OFFICE OF THE CITY SOCIAL WELFARE AND DEVELOPMENT OFFICER</t>
  </si>
  <si>
    <t>5-02-03-080</t>
  </si>
  <si>
    <t>OFFICE OF THE CITY AGRICULTURIST</t>
  </si>
  <si>
    <t>5-02-13-040</t>
  </si>
  <si>
    <t>Repairs and Maintenance - Building and Other Structures</t>
  </si>
  <si>
    <t>5-01-02-060</t>
  </si>
  <si>
    <t>Laundry Allowance</t>
  </si>
  <si>
    <t>5-01-02-050</t>
  </si>
  <si>
    <t>Subsistence Allowance</t>
  </si>
  <si>
    <t>OFFICE OF THE CITY VETERINARIAN</t>
  </si>
  <si>
    <t>OFFICE OF THE CITY ENGINEER</t>
  </si>
  <si>
    <t>MARKET OPERATION</t>
  </si>
  <si>
    <t>CIVIL SECURITY UNIT/ PUBLIC SAFETY OFFICE</t>
  </si>
  <si>
    <t>OFFICE OF THE CITY ENVIRONMENT AND NATURAL RESOURCES OFFICER</t>
  </si>
  <si>
    <t>5-02-03-070</t>
  </si>
  <si>
    <t>Drugs and Medicines Expenses</t>
  </si>
  <si>
    <t>OFFICE OF THE CITY HEALTH OFFICER</t>
  </si>
  <si>
    <t>OFFICE OF THE CITY LEGAL OFFICER</t>
  </si>
  <si>
    <t>OFFICE OF THE CITY INFORMATION OFFICER</t>
  </si>
  <si>
    <t>OFFICE OF THE CITY DISASTER RISK REDUCTION MANAGEMENT OFFICER</t>
  </si>
  <si>
    <t>OFFICE OF THE CITY SOLID WASTE MANAGEMENT OFFICER</t>
  </si>
  <si>
    <t>CITY INTERNAL AUDIT SERVICES OFFICE</t>
  </si>
  <si>
    <t>5-01-02-110</t>
  </si>
  <si>
    <t>5-02-99-990</t>
  </si>
  <si>
    <t>5-02-14-990</t>
  </si>
  <si>
    <t>5-02-99-010</t>
  </si>
  <si>
    <t>5-02-99-070</t>
  </si>
  <si>
    <t>5-02-16-010</t>
  </si>
  <si>
    <t>5-02-16-020</t>
  </si>
  <si>
    <t>5-02-16-030</t>
  </si>
  <si>
    <t>5-03-01-990</t>
  </si>
  <si>
    <t>5-02-99-020</t>
  </si>
  <si>
    <t>Total Financial Expenses</t>
  </si>
  <si>
    <t>5-02-99-080</t>
  </si>
  <si>
    <t>5-02-99-030</t>
  </si>
  <si>
    <t>5-02-99-060</t>
  </si>
  <si>
    <t>OFFICE OF THE CITY MAYOR - CITY SPECIAL, PROGRAMS, PROJECTS AND ACTIVITIES</t>
  </si>
  <si>
    <t>Youth Development Program</t>
  </si>
  <si>
    <t>Sub - Total</t>
  </si>
  <si>
    <t>Social Development Program</t>
  </si>
  <si>
    <t>Aid to Puericulture Center</t>
  </si>
  <si>
    <t>Home for the Aged</t>
  </si>
  <si>
    <t>Urban Poor Program/ Informal Settlers/ Shelter, Housing and Community Development Programs, Project and Activities</t>
  </si>
  <si>
    <t>Supplemental Feeding Program</t>
  </si>
  <si>
    <t>City Nutrition Section</t>
  </si>
  <si>
    <t>Support to Sorsogon Chest Clinic</t>
  </si>
  <si>
    <t>Support to Philippine National Red Cross</t>
  </si>
  <si>
    <t>Assistance to SHALOM</t>
  </si>
  <si>
    <t>Assistance to Oasis Children's Home Foundation, Inc.</t>
  </si>
  <si>
    <t>Support to FPOP</t>
  </si>
  <si>
    <t>Civil Society Empowerment Program</t>
  </si>
  <si>
    <t>Migration and Development Program</t>
  </si>
  <si>
    <t>Civil Mass Wedding</t>
  </si>
  <si>
    <t>Special Operation of City Pharmacy</t>
  </si>
  <si>
    <t>Operation of City Infirmary Hospital</t>
  </si>
  <si>
    <t>Professional Development Program</t>
  </si>
  <si>
    <t>Consultancy/ General Services/ Legal/ Auditing/ Environmental and Economic Services</t>
  </si>
  <si>
    <t>Youth and Sports Development Activities/Programs</t>
  </si>
  <si>
    <t>Peace, Order and Protective Services</t>
  </si>
  <si>
    <t>Anti - Drug Abuse Program &amp; Anti - illegal activities</t>
  </si>
  <si>
    <t>Assistance to BJMP</t>
  </si>
  <si>
    <t>Barangay Tanod Integration Program</t>
  </si>
  <si>
    <t>People's Law Enforcement Board</t>
  </si>
  <si>
    <t>Environmental Protection Program (Solid Waste Mgt.)</t>
  </si>
  <si>
    <t>Assistance to Lupon ng mga Tagamayapa/ Barangay Agrarian Reform Committee (BARC)</t>
  </si>
  <si>
    <t>City Affairs /Cultural, Educational and Other Training Activities</t>
  </si>
  <si>
    <t>Agricultural Development Program</t>
  </si>
  <si>
    <t>Food Security Program</t>
  </si>
  <si>
    <t>Economic Development Program</t>
  </si>
  <si>
    <t>Livelihood Assistance Package for Farmers &amp; Other Sectors &amp; Sustainable Livelihood Program</t>
  </si>
  <si>
    <t>Barangay Development Program &amp; Activities</t>
  </si>
  <si>
    <t>Royalty Share/ EDC</t>
  </si>
  <si>
    <t>Subsidy to Households &amp; Government Facilities (Barangay &amp; Daycare Center, Health Centers, etc.)</t>
  </si>
  <si>
    <t>Administrative Enhancement Program</t>
  </si>
  <si>
    <t>Public Performance Governance System</t>
  </si>
  <si>
    <t>Children and Youth Summer Camp</t>
  </si>
  <si>
    <t>20% Development Fund</t>
  </si>
  <si>
    <t>5% Calamity Fund</t>
  </si>
  <si>
    <t>LBP Form No. 2</t>
  </si>
  <si>
    <t>PROGRAMMED APPROPRIATION AND OBLIGATION BY OBJECT OF EXPENDITURE</t>
  </si>
  <si>
    <t>City of Sorsogon</t>
  </si>
  <si>
    <t>Livelihood Assistance &amp; Development Projects</t>
  </si>
  <si>
    <t>Medal Trophies, Sports Equipment, etc.</t>
  </si>
  <si>
    <t>Rent Expenses</t>
  </si>
  <si>
    <t>5-02-99-050</t>
  </si>
  <si>
    <t>70% OF 5% CALAMITY FUND</t>
  </si>
  <si>
    <t>Food Supplies Expenses</t>
  </si>
  <si>
    <t>5-02-03-050</t>
  </si>
  <si>
    <t>QUICK RESPONSE FUND (QRF) 30% of 5% CALAMITY FUND</t>
  </si>
  <si>
    <t>TOTAL APPROPRIATIONS FOR 70% OF 5% CALAMITY FUND</t>
  </si>
  <si>
    <t>TOTAL APPROPRIATIONS FOR 5% CALAMITY FUND</t>
  </si>
  <si>
    <t>Fuel, Oil, and Lubricants Expenses</t>
  </si>
  <si>
    <t>TOTAL</t>
  </si>
  <si>
    <t>(PS)</t>
  </si>
  <si>
    <t>(MOOE)</t>
  </si>
  <si>
    <t>(CO)</t>
  </si>
  <si>
    <t>Office of the City Mayor</t>
  </si>
  <si>
    <t>Bids and Award Committee (BAC)</t>
  </si>
  <si>
    <t>Office of the City Administrator</t>
  </si>
  <si>
    <t>Office of the City Vice-Mayor</t>
  </si>
  <si>
    <t>Office of the Sangguniang Panlungsod Members</t>
  </si>
  <si>
    <t>Office of the Secretary to the Sangguniang Panlungsod</t>
  </si>
  <si>
    <t>Office of the City Human Resource Management Officer</t>
  </si>
  <si>
    <t>Office of the City Planning and Development Coordinator</t>
  </si>
  <si>
    <t>Office of the City Zoning Administrator</t>
  </si>
  <si>
    <t>Barangay Affairs and Public Assistance Section</t>
  </si>
  <si>
    <t>Office of the City Civil Registrar</t>
  </si>
  <si>
    <t>Office of the City General Services Officer</t>
  </si>
  <si>
    <t>Office of the City Budget Officer</t>
  </si>
  <si>
    <t>Office of the City Accountant</t>
  </si>
  <si>
    <t>Office of the City Treasurer</t>
  </si>
  <si>
    <t>Business Permits and Licensing Section</t>
  </si>
  <si>
    <t>Office of the City Assessor</t>
  </si>
  <si>
    <t>Office of the City Social Welfare and Development Officer</t>
  </si>
  <si>
    <t>Office of the City Agriculturist</t>
  </si>
  <si>
    <t>Office of the City Veterinarian</t>
  </si>
  <si>
    <t>Office of the City Engineer</t>
  </si>
  <si>
    <t>Market Operation</t>
  </si>
  <si>
    <t>Civil Security Unit/ Public Safety Office</t>
  </si>
  <si>
    <t>Office of the City Environment and Natural Resources Officer</t>
  </si>
  <si>
    <t>Office of the City Health Officer</t>
  </si>
  <si>
    <t>Office of the City Legal Officer</t>
  </si>
  <si>
    <t>Office of the City Information Officer</t>
  </si>
  <si>
    <t>Office of the City Disaster Risk Reduction Management Officer</t>
  </si>
  <si>
    <t>Traffic Enforcer and Citation Officers</t>
  </si>
  <si>
    <t>Office of the City Solid Waste Management Officer</t>
  </si>
  <si>
    <t>City Internal Audit Services Office</t>
  </si>
  <si>
    <t>CMO-CITY SPECIAL PROGRAMS, PROJECTS &amp; ACTIVITIES</t>
  </si>
  <si>
    <t>Special Purpose Appropriation</t>
  </si>
  <si>
    <t>Prepared by:</t>
  </si>
  <si>
    <t>Noted by:</t>
  </si>
  <si>
    <t>JINKY ELPOS  AQUINO</t>
  </si>
  <si>
    <t>ADDTL INCOME</t>
  </si>
  <si>
    <t>CITY MAYOR</t>
  </si>
  <si>
    <t>TOTAL INCREASE</t>
  </si>
  <si>
    <t>20% dev't. Fund</t>
  </si>
  <si>
    <t>IRA for CY 2018</t>
  </si>
  <si>
    <t>IRA for CY 2019</t>
  </si>
  <si>
    <t>IRA increase</t>
  </si>
  <si>
    <t>Subsidy to other LGU'S</t>
  </si>
  <si>
    <t>5-02-14-030</t>
  </si>
  <si>
    <t>CITY TOURISM CULTURE &amp; ARTS</t>
  </si>
  <si>
    <t>FIN'L. EXPS.</t>
  </si>
  <si>
    <t>1-07-05-990</t>
  </si>
  <si>
    <t>1.KALUSUGAN MO SAGOT KO (HEALTH PROGRAM)</t>
  </si>
  <si>
    <t>Maintenance &amp; Other Operating Expenses</t>
  </si>
  <si>
    <t>1-07-04-010</t>
  </si>
  <si>
    <t>2. YES TO CHILDREN ASSISTANCE (YCAP)</t>
  </si>
  <si>
    <t>Other Machinery Equipment</t>
  </si>
  <si>
    <t>5-02-03-100</t>
  </si>
  <si>
    <t>4. GROUPIE Program -Gender Responsiveness for Organized and Unified Persons with Disabilities, Indigents and Elderlies</t>
  </si>
  <si>
    <t>FOR SECURITY</t>
  </si>
  <si>
    <t>6. SULAY SA FUTURO (YOUTH ASSISTANCE PROGRAM)</t>
  </si>
  <si>
    <t>7. GAYON SORSOGON (ENVIRONMENTAL &amp; TOURISM PROGRAM)</t>
  </si>
  <si>
    <t>Current Year 
(Estimate)</t>
  </si>
  <si>
    <t>First Semester
(Actual)</t>
  </si>
  <si>
    <t>Second Semester
(Estimate)</t>
  </si>
  <si>
    <t>Past Year
(Actual)</t>
  </si>
  <si>
    <t>Budget Year
(Proposed)</t>
  </si>
  <si>
    <t xml:space="preserve"> - Reconstruction of civil registry documents</t>
  </si>
  <si>
    <t xml:space="preserve"> - Bookbinding</t>
  </si>
  <si>
    <t xml:space="preserve"> - Enhanced Tax Revenue Collection System (ETRACS)</t>
  </si>
  <si>
    <t xml:space="preserve"> - Digitization of Cadastral Maps</t>
  </si>
  <si>
    <t xml:space="preserve"> - Assistance to Indigent Solo Parents</t>
  </si>
  <si>
    <t xml:space="preserve"> - Children's Welfare Program</t>
  </si>
  <si>
    <t xml:space="preserve"> - Protective Services Program</t>
  </si>
  <si>
    <t xml:space="preserve"> - Assistance to Casa Miani</t>
  </si>
  <si>
    <t xml:space="preserve"> - Assistance to Jardin De Maria Foundation Inc.</t>
  </si>
  <si>
    <t xml:space="preserve"> - Operation &amp; Maintenance of Livestock &amp; Poultry Tech-no Demo &amp; Multiplier Farm Project</t>
  </si>
  <si>
    <t xml:space="preserve"> - Operation &amp; Maintenance of Artificial Insemination &amp; Livestock Poultry Multiplier Farm</t>
  </si>
  <si>
    <t xml:space="preserve"> - Operation &amp; Maintenance of dog pound &amp; impounding of stray animals</t>
  </si>
  <si>
    <t xml:space="preserve"> - Enforcement of City Ordinance #12 Registration</t>
  </si>
  <si>
    <t xml:space="preserve"> - Enforcement of IEC on Rabies &amp; Stray Animal Control</t>
  </si>
  <si>
    <t xml:space="preserve"> - Medico Legal</t>
  </si>
  <si>
    <t xml:space="preserve"> - Voluntary Blood Services Program</t>
  </si>
  <si>
    <t xml:space="preserve"> - Health Emergency Management</t>
  </si>
  <si>
    <t xml:space="preserve"> - Communicable Disease/ Emerging &amp; Re-emerging Infectious Diseases (ERID)</t>
  </si>
  <si>
    <t xml:space="preserve"> - Medical &amp; Dental Outreach Program</t>
  </si>
  <si>
    <t xml:space="preserve"> - Mental Health Care Program</t>
  </si>
  <si>
    <t xml:space="preserve"> - Mid Year Bonus</t>
  </si>
  <si>
    <t xml:space="preserve"> - Productivity Enhancement Incentive</t>
  </si>
  <si>
    <t xml:space="preserve"> - Loyalty Award</t>
  </si>
  <si>
    <t>Repair &amp; Maintenance - Furniture &amp; Fixtures</t>
  </si>
  <si>
    <t>Repairs and Maintenance - Buildings and Other Structures</t>
  </si>
  <si>
    <t xml:space="preserve"> - Magna Carta</t>
  </si>
  <si>
    <t xml:space="preserve"> - ETRACS Subscription</t>
  </si>
  <si>
    <t xml:space="preserve"> - Relocation of Livestock Timbangan ng Bayan</t>
  </si>
  <si>
    <t xml:space="preserve"> - Condemnation of diseased &amp; contaminated carcass and/or entrails</t>
  </si>
  <si>
    <t xml:space="preserve">Repairs and Maintenance - Furniture and Fixtures </t>
  </si>
  <si>
    <t xml:space="preserve">Other Maintenance and Operating Expenses </t>
  </si>
  <si>
    <t>8. SELFIE PROGRAM-Sorsogon Exclusively Living For Individual Enhancement</t>
  </si>
  <si>
    <t>Buildings</t>
  </si>
  <si>
    <t>City Sports Development Program</t>
  </si>
  <si>
    <t xml:space="preserve"> - Livelihood Program</t>
  </si>
  <si>
    <t xml:space="preserve"> - Uniform</t>
  </si>
  <si>
    <t xml:space="preserve"> - Training, Seminars &amp; Other Activities</t>
  </si>
  <si>
    <t xml:space="preserve"> - Committee hearing Expenses</t>
  </si>
  <si>
    <t xml:space="preserve"> - Barangays</t>
  </si>
  <si>
    <t>Taxes, Insurance Premiums and Other Fees</t>
  </si>
  <si>
    <t xml:space="preserve">9 . Taas Noo! Ciudadano Ako (Mass Housing Program) </t>
  </si>
  <si>
    <t>10. Merkado ko, Urgolyo Ko Program</t>
  </si>
  <si>
    <t>Laboratory Supplies Expenses</t>
  </si>
  <si>
    <t>Travelling Expenses</t>
  </si>
  <si>
    <t>Total Maintenance &amp; Other Operating Expenses</t>
  </si>
  <si>
    <t xml:space="preserve"> - Warehousing/ Office Ventilation (20% Development Fund)</t>
  </si>
  <si>
    <t xml:space="preserve"> - Bags (42,000 x 300.00)</t>
  </si>
  <si>
    <t xml:space="preserve"> - School Supplies</t>
  </si>
  <si>
    <t xml:space="preserve"> - 3 Drivers x 350 x 26 x 11 months</t>
  </si>
  <si>
    <t>Others Supplies and Materials Expenses</t>
  </si>
  <si>
    <t xml:space="preserve"> - Bread flour &amp; other ingredients for nutritious bread</t>
  </si>
  <si>
    <t>Transportation Allowance</t>
  </si>
  <si>
    <t xml:space="preserve"> - Bakery Equipment</t>
  </si>
  <si>
    <t xml:space="preserve"> - Motor Vehicles (3 units)</t>
  </si>
  <si>
    <t xml:space="preserve"> - L3 Mitsubishi (3 units @ 1,8000,000.00 charge to cf - 5,400,000.00)</t>
  </si>
  <si>
    <t xml:space="preserve"> - Photo Copier (1 unit)</t>
  </si>
  <si>
    <t xml:space="preserve"> - Service Vehicle (1 unit)</t>
  </si>
  <si>
    <t xml:space="preserve"> - Laptop (1 unit)</t>
  </si>
  <si>
    <t xml:space="preserve"> - UPS (5 units)</t>
  </si>
  <si>
    <t xml:space="preserve"> - CCTV Enhancement / TV</t>
  </si>
  <si>
    <t xml:space="preserve"> - Mobile Pick up (2 units)  - rescue vehicle - charge to cf</t>
  </si>
  <si>
    <t>Scholarship Program</t>
  </si>
  <si>
    <t>Alternative Learning System Program/TESDA</t>
  </si>
  <si>
    <t>Educational Financial Assistance Program</t>
  </si>
  <si>
    <t>Environmental Protection Program (Solid Waste Management)</t>
  </si>
  <si>
    <t xml:space="preserve"> - Cleaning materials</t>
  </si>
  <si>
    <t>TOURISM/ CULTURAL</t>
  </si>
  <si>
    <t>TOTAL TOURISM/ CULTURAL</t>
  </si>
  <si>
    <t>Lot Purchase for Socialized Housing (20% Development Fund)</t>
  </si>
  <si>
    <t>Construction/ Improvement Market (Abuyog, Pangpang, Basud, Bulabog) (20% Development Fund)</t>
  </si>
  <si>
    <t>GRAND TOTAL 10 POINTS AGENDA</t>
  </si>
  <si>
    <t>Expansion and Strengthening Programs for Senior Citizen or the Elderly</t>
  </si>
  <si>
    <t>Philhealth para sa Masa</t>
  </si>
  <si>
    <t>Project Serve - "SERBISYONG SORSOGANON" (Medical Dental, Agriculture, Veterinary, Civil Registry and Other Social Services)</t>
  </si>
  <si>
    <t>Smoke-free Program, Organic City Programs and Activities, Pili &amp; Abaca Industry Enhancement and Programs devoted to development/ enhancement/ promotio/ and marketing of local agricultural products, Pili Resin Project, Sorsogon City Loves Life, Natural Family Planning, Public Space Project, Greening, Character Development Program, Activities under Data Privacy Act Implementation, Counterpart for partnership programs or activities devoted to Localization of SDGs, Sharing and replication of Best practices, GAD (Balay Bukas Palad), counterpart for water resource management, data, records management, subsidy/ counterpart for partnership programs or activities devoted to H.E.A.R.T.S. and social fund for other city programs, projects and activities , and other partnerships, etc.</t>
  </si>
  <si>
    <t>Peace, Order and Protective Program</t>
  </si>
  <si>
    <t>Tourism/ Cultural/ Educational Program/ Anti-poverty Education Programs/ etc.</t>
  </si>
  <si>
    <t>City Tourism Office</t>
  </si>
  <si>
    <t>Alternative Learning System Program/ TESDA Program/ Social Upliftment Program</t>
  </si>
  <si>
    <t>Special Program for the Employment of Student (PESO)</t>
  </si>
  <si>
    <t>TOTAL OTHER PURPOSE</t>
  </si>
  <si>
    <t>5. SEGURIDAD, KAAYUSAN, KATRANQUILOHAN ASIN KASUWAGAN (sk3)</t>
  </si>
  <si>
    <t>10 POINTS AGENDA</t>
  </si>
  <si>
    <t xml:space="preserve"> - Bacon Festival</t>
  </si>
  <si>
    <t xml:space="preserve"> - Sorsogon Festival</t>
  </si>
  <si>
    <t xml:space="preserve"> - Sosogon Festival (Foundation Day)</t>
  </si>
  <si>
    <t xml:space="preserve"> - Local Council for the Protection of Children (LCPC)</t>
  </si>
  <si>
    <t xml:space="preserve"> - Election Related Expenses</t>
  </si>
  <si>
    <t>Social Welfare Program and Activities</t>
  </si>
  <si>
    <t>Population Program and Activities and Programs for Natural Family Planning</t>
  </si>
  <si>
    <t>Various Information Education Campaign for City Programs, Projects and Activities, etc</t>
  </si>
  <si>
    <t>5-02-03-060</t>
  </si>
  <si>
    <t>Welfare Goods Expenses</t>
  </si>
  <si>
    <t>Disaster Response and Rescue Equipment</t>
  </si>
  <si>
    <t>1-07-05-090</t>
  </si>
  <si>
    <t>OFFICE OF THE CITY TRICYCLE FRANCHISING REGULATORY OFFICER</t>
  </si>
  <si>
    <t>Office of the City Tricycle Franchising Regulatory Officer</t>
  </si>
  <si>
    <t>City Tourism Culture &amp; Arts</t>
  </si>
  <si>
    <t>Public Employment Services Office</t>
  </si>
  <si>
    <t xml:space="preserve"> - Ambulanace  (4 units @ 2,000,000.00) -20% Development Fund</t>
  </si>
  <si>
    <t xml:space="preserve"> - Animal &amp; Livestock Program</t>
  </si>
  <si>
    <t>1-07-05-040</t>
  </si>
  <si>
    <t>Agricultural and Forestry Equipment</t>
  </si>
  <si>
    <t>City Affairs/ Cultural, Educational and Other Festival</t>
  </si>
  <si>
    <t>Human Resource Developmentt Program (City Employees, NGO, etc.)</t>
  </si>
  <si>
    <t>Seminar/ Training for Newly Elected Barangay Official</t>
  </si>
  <si>
    <t>Youth and Sports Development Activities/Programs/ Children Summer Camp</t>
  </si>
  <si>
    <t xml:space="preserve"> - Security Services</t>
  </si>
  <si>
    <t xml:space="preserve"> - Fishery Program</t>
  </si>
  <si>
    <t xml:space="preserve"> - Motor Vehicles</t>
  </si>
  <si>
    <t xml:space="preserve"> - Palay Shed</t>
  </si>
  <si>
    <t>Agricultural and Marine Supplies Expenses</t>
  </si>
  <si>
    <t xml:space="preserve"> - Uniform Tshirt (4pcs per student x 42,000 x 70.00)</t>
  </si>
  <si>
    <t xml:space="preserve"> - Office Supplies (Documentation/ Processing)</t>
  </si>
  <si>
    <t xml:space="preserve"> - 3 Drivers x 350 x 22 x 10 months</t>
  </si>
  <si>
    <t xml:space="preserve"> - 18 x JO's x 310.00 x 22 days x 10 mos</t>
  </si>
  <si>
    <t xml:space="preserve"> - 204 JO's including CENRO JO's</t>
  </si>
  <si>
    <t xml:space="preserve"> - Personnel Protective Equipment (PPE)</t>
  </si>
  <si>
    <t xml:space="preserve"> - Traffic Signages</t>
  </si>
  <si>
    <t>CITY BUDGET OFFICER</t>
  </si>
  <si>
    <t>20% DEVELOPMENT FUND OF THE LGU</t>
  </si>
  <si>
    <t>GENERAL SERVICES</t>
  </si>
  <si>
    <t>Barangay Development Program</t>
  </si>
  <si>
    <t>Total General Services</t>
  </si>
  <si>
    <t>Loan Amortization</t>
  </si>
  <si>
    <t>SOCIAL SERVICES</t>
  </si>
  <si>
    <t>Total Social Services</t>
  </si>
  <si>
    <t>Lot Purchase for Socialized Housing</t>
  </si>
  <si>
    <t>ECONOMIC SERVICES</t>
  </si>
  <si>
    <t>Construction/ Improvement of Market (Abuyog, Pangpang, Basud, Bulabog)</t>
  </si>
  <si>
    <t>Contruction/ Improvement of Irrigation System</t>
  </si>
  <si>
    <t>ENVIRONMENTAL MANAGEMENT</t>
  </si>
  <si>
    <t>Total Economic Services</t>
  </si>
  <si>
    <t>Total Environmental Management</t>
  </si>
  <si>
    <t>MA. ESTER A. HAMOR</t>
  </si>
  <si>
    <t xml:space="preserve"> - Healthy Life Style</t>
  </si>
  <si>
    <t>National Tobacco Control Program</t>
  </si>
  <si>
    <t xml:space="preserve"> - Service Vehicles (3 units @ 850,000.00)</t>
  </si>
  <si>
    <t>SELFIE PROGRAM - Sorsogon Exclusively Living for Individual Enhancement</t>
  </si>
  <si>
    <t>GROUPIE PROGRAM - Gender Responsiveness for Organized and Unified Persons with Disabilities</t>
  </si>
  <si>
    <t>YES! To Children Assistance Program (YCAP)</t>
  </si>
  <si>
    <t>Kalusugan mo, Sagot Ko! (Health Program)</t>
  </si>
  <si>
    <t>Merkado ko, Orgolyo Ko! Program</t>
  </si>
  <si>
    <t xml:space="preserve"> - BNS &amp; BHW</t>
  </si>
  <si>
    <t xml:space="preserve"> - Veterinary Medicine &amp; Biologics</t>
  </si>
  <si>
    <t>PUBLIC EMPLOYMENT SERVICES OFFICE</t>
  </si>
  <si>
    <t>Salaries and Wages - Casual / Contractual (3)</t>
  </si>
  <si>
    <t>Salaries and Wages - Casual / Contractual (1)</t>
  </si>
  <si>
    <t>Salaries and Wages - Casual / Contractual (28)</t>
  </si>
  <si>
    <t xml:space="preserve"> - Perfomance Based Bonus/ Other Personnel Benefits</t>
  </si>
  <si>
    <t>SORSOGON CITY COOPERATIVES DEVELOPMENT OFFICE</t>
  </si>
  <si>
    <t xml:space="preserve"> - Business One Stop Shop</t>
  </si>
  <si>
    <t xml:space="preserve"> - Uniform of SK3 Personnel</t>
  </si>
  <si>
    <t xml:space="preserve"> - Rescue/Transport Vehicle</t>
  </si>
  <si>
    <t xml:space="preserve"> - Working Uniforms</t>
  </si>
  <si>
    <t xml:space="preserve"> - Garbage Sacks</t>
  </si>
  <si>
    <t xml:space="preserve"> - Rolling Bins</t>
  </si>
  <si>
    <t xml:space="preserve"> - Planting Materials</t>
  </si>
  <si>
    <t xml:space="preserve"> - Printing of Information, Education and Communication Materials</t>
  </si>
  <si>
    <t xml:space="preserve"> - CENRO Certification</t>
  </si>
  <si>
    <t xml:space="preserve"> - Maintenance &amp; Operation of Sanitary Landfill &amp; Materials Recovery Facility</t>
  </si>
  <si>
    <t xml:space="preserve"> - Illumination of Sanitary Landfill</t>
  </si>
  <si>
    <t xml:space="preserve"> - Water Supply System for Sanitary Landfill</t>
  </si>
  <si>
    <t xml:space="preserve"> - Sagip Puno (Tree Growing)</t>
  </si>
  <si>
    <t xml:space="preserve"> - Propagation of Tree Seedlings</t>
  </si>
  <si>
    <t xml:space="preserve"> - Conduct of Environmental Trainings/ Seminars</t>
  </si>
  <si>
    <t xml:space="preserve"> - Establishment of Mangrove Plantation in West &amp; Bacon Districts</t>
  </si>
  <si>
    <t xml:space="preserve"> - Operation of Salog River Management Council</t>
  </si>
  <si>
    <t xml:space="preserve"> - Conduct of City Solid Waste Management Board Meetings</t>
  </si>
  <si>
    <t xml:space="preserve"> - Bacon-Manito Multi-Partite Monitoring Team (BMGMMT)</t>
  </si>
  <si>
    <t xml:space="preserve"> - Bacon-Manito Geothermal Airshed Governing Board Meetings</t>
  </si>
  <si>
    <t xml:space="preserve"> - Participation in Environment-related Trainings/Seminars</t>
  </si>
  <si>
    <t xml:space="preserve"> - Application of Environment-related Permits for LGU Projects</t>
  </si>
  <si>
    <t xml:space="preserve"> - Conduct of Coastal River Clean-ups</t>
  </si>
  <si>
    <t xml:space="preserve"> - Inspection related to Environmental Complaints</t>
  </si>
  <si>
    <t xml:space="preserve"> - Inspection of Trees for Cutting</t>
  </si>
  <si>
    <t xml:space="preserve"> - Maintenance &amp; Protection of Established Plantation</t>
  </si>
  <si>
    <t xml:space="preserve"> - 4 units Mini Garbage Trucks</t>
  </si>
  <si>
    <t>Improvement &amp; Expansion of MRF at SLF Site</t>
  </si>
  <si>
    <t>Construction of Admin Building at SLF Site</t>
  </si>
  <si>
    <t>Construction of Perimeter Fence for the SLF Site</t>
  </si>
  <si>
    <t>Procurement of Service Vehicle for SLF Operation</t>
  </si>
  <si>
    <t>Establishment of Two (2) City Forest Nursery</t>
  </si>
  <si>
    <t>Procurement of Two (2) Boats for Cleanup Operation</t>
  </si>
  <si>
    <t>Procurement of Office Equipment &amp; Hardware</t>
  </si>
  <si>
    <t>plantilla item</t>
  </si>
  <si>
    <t xml:space="preserve"> - Renewal of Registration &amp; Accreditation of Slaughterhouse</t>
  </si>
  <si>
    <t>Tanging Yaman Meat Shop (per district)</t>
  </si>
  <si>
    <t>Rehabilitation &amp; Operation of Sorsogon City Cold Storage Facility</t>
  </si>
  <si>
    <t>Access Road from Diversion Road to Cold Storage (500 meters)</t>
  </si>
  <si>
    <t>Mini poultry dressing plant</t>
  </si>
  <si>
    <t>Improvement of Slaughterhouse Equipment and Facilities</t>
  </si>
  <si>
    <t>Job Orders (veterinary technicians, animal caretakers, clerks, stray dog catchers)</t>
  </si>
  <si>
    <t>Centralized Recording of Daily Slaughterhouse Production and Collection</t>
  </si>
  <si>
    <t>Acquisition of Veterinary Biologics (Anti-rabis Vaccine)</t>
  </si>
  <si>
    <t>Acquisition of Veterinary Medicine</t>
  </si>
  <si>
    <t xml:space="preserve">Sorsogon City Cooperatives Development Office </t>
  </si>
  <si>
    <t xml:space="preserve"> - Fidelity bond, etc.</t>
  </si>
  <si>
    <t>CONSOLIDATED BUDGET FOR CY 2021</t>
  </si>
  <si>
    <t xml:space="preserve"> - Senior Citizen (php 500 x 7,000 benes x 12 mos) </t>
  </si>
  <si>
    <t xml:space="preserve"> - PWD (php 1,000 x 2,000 benes x 12 mos)</t>
  </si>
  <si>
    <t xml:space="preserve"> - Solo Parent (php 1,000 x 2,000 benes x 12 mos)</t>
  </si>
  <si>
    <t xml:space="preserve"> - Provision of Milk to newly born baby's</t>
  </si>
  <si>
    <t>3. TANGING YAMAN</t>
  </si>
  <si>
    <t xml:space="preserve"> - Agriculture Program</t>
  </si>
  <si>
    <t>Fertilizer Assistance</t>
  </si>
  <si>
    <t>Vegetables and Other High Value Crops</t>
  </si>
  <si>
    <t>Integrated Farm Demo</t>
  </si>
  <si>
    <t>Fisheries Program</t>
  </si>
  <si>
    <t>Special Project (Sorcity Cares)</t>
  </si>
  <si>
    <t xml:space="preserve"> - Non -Motorized Boats</t>
  </si>
  <si>
    <t xml:space="preserve"> - Motorized Boat</t>
  </si>
  <si>
    <t xml:space="preserve"> - Fish Cage and Motor Boat</t>
  </si>
  <si>
    <t xml:space="preserve"> - Equipment for off shore/deep seafishing</t>
  </si>
  <si>
    <t xml:space="preserve"> - Service vehicle (for hauling of inputs)</t>
  </si>
  <si>
    <t>Repair of Cold Storage</t>
  </si>
  <si>
    <t>Solar water pump irrigation system</t>
  </si>
  <si>
    <t>Completion of Sanitary Landfill</t>
  </si>
  <si>
    <t xml:space="preserve"> - Non-Communicable Diseases Control</t>
  </si>
  <si>
    <t xml:space="preserve"> - Medical Uniforms (scrubsuits)</t>
  </si>
  <si>
    <t xml:space="preserve"> - MPV (1 unit/district @850K)</t>
  </si>
  <si>
    <t xml:space="preserve"> - MPV (Mobile Blood Donation)</t>
  </si>
  <si>
    <t xml:space="preserve"> - Tri-Mobile (3 units @ 275k)</t>
  </si>
  <si>
    <t xml:space="preserve"> - 1 unit/district Desktop Computer</t>
  </si>
  <si>
    <t xml:space="preserve"> - 1 unit/district Laptop</t>
  </si>
  <si>
    <t xml:space="preserve"> - delivery tables, mechanical (6 units @ 150k, 2 bacon, 4 CHO Main)</t>
  </si>
  <si>
    <t xml:space="preserve"> - Medicine Refrigerators (1 unit/district, BNB @ 12K)</t>
  </si>
  <si>
    <t xml:space="preserve"> - infirmary/lying-in; new main health center, east</t>
  </si>
  <si>
    <t xml:space="preserve"> - trolley for vaccine carriers (140 unit)</t>
  </si>
  <si>
    <t xml:space="preserve"> - dental chairs (3 units @ 200k)</t>
  </si>
  <si>
    <t xml:space="preserve"> - dental equipment/instruments</t>
  </si>
  <si>
    <t xml:space="preserve"> - janitorial supplies expenses</t>
  </si>
  <si>
    <t xml:space="preserve"> - Supervising Baker (1x26 days x 10mos. @500.00)</t>
  </si>
  <si>
    <t xml:space="preserve"> - Master Bakers (3 x 26days x 10 mos @ 500.oo ea)</t>
  </si>
  <si>
    <t xml:space="preserve"> - Asst. Bakers (6 x 26days x 10mos. @ 350.00 )</t>
  </si>
  <si>
    <t xml:space="preserve"> - Driver (Delivery Van) 3 x 26days x 10mos. @ 350.00 ea)</t>
  </si>
  <si>
    <t xml:space="preserve"> - Driver (Motorcycle/Monitoring) 3 x 22days x 10mos. @ 350.00 ea)</t>
  </si>
  <si>
    <t xml:space="preserve"> - Staff, Monitoring, Delivery Crew (13 x 22days x 10mos. @ 310.00)</t>
  </si>
  <si>
    <t xml:space="preserve"> - City Bus Driver (1 x 26days x 12mos @ 400.00)</t>
  </si>
  <si>
    <t xml:space="preserve"> - Uniform T-Shirts (2pcs x 32,000 Students)</t>
  </si>
  <si>
    <t xml:space="preserve"> - Uniform Shorts/Skirts (kinder to grade 6 @ 200.00)</t>
  </si>
  <si>
    <t xml:space="preserve"> - Uniform Pants/Skirts (grade 7 to 10 @ 250.00)</t>
  </si>
  <si>
    <t xml:space="preserve"> - School Bags (Assorted Sizes)</t>
  </si>
  <si>
    <r>
      <rPr>
        <b/>
        <i/>
        <sz val="10"/>
        <color theme="1"/>
        <rFont val="Candara"/>
        <family val="2"/>
      </rPr>
      <t>E</t>
    </r>
    <r>
      <rPr>
        <sz val="10"/>
        <color theme="1"/>
        <rFont val="Candara"/>
        <family val="2"/>
      </rPr>
      <t xml:space="preserve">ducational </t>
    </r>
    <r>
      <rPr>
        <b/>
        <i/>
        <sz val="10"/>
        <color theme="1"/>
        <rFont val="Candara"/>
        <family val="2"/>
      </rPr>
      <t>S</t>
    </r>
    <r>
      <rPr>
        <sz val="10"/>
        <color theme="1"/>
        <rFont val="Candara"/>
        <family val="2"/>
      </rPr>
      <t xml:space="preserve">ubsidy for </t>
    </r>
    <r>
      <rPr>
        <b/>
        <i/>
        <sz val="10"/>
        <color theme="1"/>
        <rFont val="Candara"/>
        <family val="2"/>
      </rPr>
      <t>Ter</t>
    </r>
    <r>
      <rPr>
        <sz val="10"/>
        <color theme="1"/>
        <rFont val="Candara"/>
        <family val="2"/>
      </rPr>
      <t>tiary Students</t>
    </r>
  </si>
  <si>
    <t>Alternative Learning System &amp; CCLC</t>
  </si>
  <si>
    <t>Special Porgram for the Employment of Students (PESO)</t>
  </si>
  <si>
    <t>10 point agenda</t>
  </si>
  <si>
    <t>PETE CC</t>
  </si>
  <si>
    <t>DEFICIT</t>
  </si>
  <si>
    <t xml:space="preserve"> - Simulat' Katapusan</t>
  </si>
  <si>
    <t xml:space="preserve">Salaries and Wages </t>
  </si>
  <si>
    <t>Supplementary Dietary Program</t>
  </si>
  <si>
    <t xml:space="preserve">    -Pili Festival</t>
  </si>
  <si>
    <t xml:space="preserve">  -Other Actvities</t>
  </si>
  <si>
    <t>Other Maintenance and Operating Expenses - Monitoring of the Implementation of Ten Pt. Agenda</t>
  </si>
  <si>
    <t xml:space="preserve">  For YCAP Students  (Cap &amp; Umbrella)</t>
  </si>
  <si>
    <t xml:space="preserve">  -Constuction and Installation of Street Lights</t>
  </si>
  <si>
    <t xml:space="preserve">  -Construction of City Tourism</t>
  </si>
  <si>
    <t>Extra Hazard Premium</t>
  </si>
  <si>
    <t>Internet Expenses</t>
  </si>
  <si>
    <t>no proposal yet</t>
  </si>
  <si>
    <t>MAESTERHAMOR PROGRAMS - Market, Agriculture, Economic Development, Social Services, Tourism, Education, Rural Development, Environmental and Natural Resources, Health, Animal Welfare, Marine life protection, Opportunities for employment, Recreation and sports Development
PROGRAM (INFORMATION EDUCATION CAMPAIGN)</t>
  </si>
  <si>
    <t>1M-other supplies at cmo</t>
  </si>
  <si>
    <t>2021 - PROPOSAL</t>
  </si>
  <si>
    <t>2021 - AFTER LFC</t>
  </si>
  <si>
    <t>Medical &amp; Laboratory Supplies Expenses</t>
  </si>
  <si>
    <t>ester</t>
  </si>
  <si>
    <t xml:space="preserve"> Welfare Goods</t>
  </si>
  <si>
    <t>centralized</t>
  </si>
  <si>
    <t>slaughterhouses</t>
  </si>
  <si>
    <t>286,400 jan-june</t>
  </si>
  <si>
    <t>rep.&amp;maint. Other infra under engring</t>
  </si>
  <si>
    <t>rwmheef-edc</t>
  </si>
  <si>
    <t>at cmo-trng and sem</t>
  </si>
  <si>
    <t>RWMEF-EDC-1 m</t>
  </si>
  <si>
    <t xml:space="preserve">stalls s atalipapa and others </t>
  </si>
  <si>
    <t xml:space="preserve"> - Supplementary Dietary Program</t>
  </si>
  <si>
    <t>Subsidy - Others</t>
  </si>
  <si>
    <t>20% of salries/30 days</t>
  </si>
  <si>
    <t>gayon-tourism</t>
  </si>
  <si>
    <t>ester program</t>
  </si>
  <si>
    <t>BUDGET CY 2021</t>
  </si>
  <si>
    <t>charge to groupie</t>
  </si>
  <si>
    <t>Youth and Sports Development Activities/Programs/ Children Summer Camp/medals,trophies, sprots equipment,etc.</t>
  </si>
  <si>
    <t>cswdo-duplication</t>
  </si>
  <si>
    <t>5M-underDLF (SEEDLING DISPERSAL AND OTHER AGRI</t>
  </si>
  <si>
    <t>JONJIE</t>
  </si>
  <si>
    <t>asia</t>
  </si>
  <si>
    <t>charge to suplus-20%-taas noo</t>
  </si>
  <si>
    <t>taas noo -charge to savings 20%-5M</t>
  </si>
  <si>
    <t>tanging yaman-charge sa DLF-SEELDINGS-5m</t>
  </si>
  <si>
    <t>5,000,000-CHARGE TO SURPLUS-20%</t>
  </si>
  <si>
    <t>5000,000 CHARGE TO DLF-SEEDLINGS</t>
  </si>
  <si>
    <t>Subscription/Publication Expenses</t>
  </si>
  <si>
    <t xml:space="preserve"> - GAD/ Women/Solo Parent</t>
  </si>
  <si>
    <t xml:space="preserve"> - CCTV Enhancement </t>
  </si>
  <si>
    <t>Furnitures and Fixtures</t>
  </si>
  <si>
    <t xml:space="preserve"> - meetings</t>
  </si>
  <si>
    <t xml:space="preserve"> </t>
  </si>
  <si>
    <t xml:space="preserve">    - photocopier</t>
  </si>
  <si>
    <t xml:space="preserve">     - desktop computer</t>
  </si>
  <si>
    <t xml:space="preserve">  - motorcycle</t>
  </si>
  <si>
    <t>savings</t>
  </si>
  <si>
    <t xml:space="preserve"> Fisheries Program/Coastal Resource Management</t>
  </si>
  <si>
    <t>LESS:1,400,00 CHARGE TO CF STOCKPILLING THEN 1.4M PROVISION FOR CDRRMO ADDTL JO -15</t>
  </si>
  <si>
    <t xml:space="preserve"> - Financial Assistance to Senior Citizen </t>
  </si>
  <si>
    <t>64 brgys</t>
  </si>
  <si>
    <t>1400,000 charge to 5% CF AND GIVEN TO CDRRMO ADDTL 15 JOS</t>
  </si>
  <si>
    <t>College Scholarship Program</t>
  </si>
  <si>
    <t xml:space="preserve">   -Assistance to Office of the persons with disability affair (OPDA)</t>
  </si>
  <si>
    <t>Sub-total for Environmental Program</t>
  </si>
  <si>
    <t>total appropriation for ten pt. agenda</t>
  </si>
  <si>
    <t>general fund</t>
  </si>
  <si>
    <t xml:space="preserve"> Donations</t>
  </si>
  <si>
    <t xml:space="preserve"> - PNP Incentives</t>
  </si>
  <si>
    <t>* 5M charge to surplus 20%</t>
  </si>
  <si>
    <t xml:space="preserve"> - Balogo Sports Complex</t>
  </si>
  <si>
    <t xml:space="preserve"> - Promotional Materials (coffee table book, brochures, magazines, flyers, AVP etc)</t>
  </si>
  <si>
    <t xml:space="preserve"> - Monitoring of Tourist Arrivals</t>
  </si>
  <si>
    <t xml:space="preserve"> - Monitoring of Gayon Ciudad Programs</t>
  </si>
  <si>
    <t xml:space="preserve"> - Wifi for tourist areas (Rompeolas, Bacon Boulevard, Bacon Municipal Hall Park)</t>
  </si>
  <si>
    <t xml:space="preserve"> - Pili Festival</t>
  </si>
  <si>
    <t xml:space="preserve"> - Construction of City Tourism</t>
  </si>
  <si>
    <t xml:space="preserve"> - Cultural Mapping</t>
  </si>
  <si>
    <t xml:space="preserve"> - Community Tourism Development</t>
  </si>
  <si>
    <t>Motor Vehicle</t>
  </si>
  <si>
    <t xml:space="preserve"> - Constuction and Installation of Street Lights</t>
  </si>
  <si>
    <t xml:space="preserve"> - Purchase of Vehicle</t>
  </si>
  <si>
    <t xml:space="preserve"> - Procurement of Service Vehicle for SLF Operation</t>
  </si>
  <si>
    <t xml:space="preserve"> - Procurement of One (1) Mini Garbage Truck</t>
  </si>
  <si>
    <t xml:space="preserve"> - Establishment of Two (1) City Forest Nursery</t>
  </si>
  <si>
    <t xml:space="preserve"> - Procurement of Two (2) Boats for Cleanup Operation</t>
  </si>
  <si>
    <t xml:space="preserve"> - Procurement of Office Equipment </t>
  </si>
  <si>
    <t xml:space="preserve"> - Tri-Mobile (2 units @ 275k)</t>
  </si>
  <si>
    <t>Assistance to Peace and Order Council</t>
  </si>
  <si>
    <t>Senior Citizen Program</t>
  </si>
  <si>
    <t xml:space="preserve"> - Financial Assistance to Person with Disability (PWD)</t>
  </si>
  <si>
    <t xml:space="preserve"> - Performance Based Bonus/ Other Personnel Benefits</t>
  </si>
  <si>
    <t xml:space="preserve"> - Collective Negotiation Agreement</t>
  </si>
  <si>
    <t xml:space="preserve"> - BAC Honorarium</t>
  </si>
  <si>
    <t xml:space="preserve"> - Anniversary Bonus</t>
  </si>
  <si>
    <t xml:space="preserve"> - Service Recognition Incentive</t>
  </si>
  <si>
    <t xml:space="preserve"> - Special Risk Allowance</t>
  </si>
  <si>
    <t>Accountable Forms Expenses</t>
  </si>
  <si>
    <t xml:space="preserve">	Welfare Goods Expenses</t>
  </si>
  <si>
    <t xml:space="preserve"> - Food Supplies</t>
  </si>
  <si>
    <t xml:space="preserve">1-07-06-010	</t>
  </si>
  <si>
    <t xml:space="preserve"> - Construction of Welcome Arc</t>
  </si>
  <si>
    <t>ADD Other MOOE/Other Supplies</t>
  </si>
  <si>
    <t>name</t>
  </si>
  <si>
    <t>amount</t>
  </si>
  <si>
    <t>pera</t>
  </si>
  <si>
    <t>uniform</t>
  </si>
  <si>
    <t>cash_gift</t>
  </si>
  <si>
    <t>ecc</t>
  </si>
  <si>
    <t>pagibig</t>
  </si>
  <si>
    <t>pei</t>
  </si>
  <si>
    <t>pbb</t>
  </si>
  <si>
    <t>Subsidy to Barangay (Support to BADAC)</t>
  </si>
  <si>
    <t xml:space="preserve"> - Labor and Material Hog Gabrel</t>
  </si>
  <si>
    <t xml:space="preserve"> - GS Project</t>
  </si>
  <si>
    <t xml:space="preserve"> - Joint Inspection</t>
  </si>
  <si>
    <t xml:space="preserve"> - Food assistance &amp; Other relief goods /welfare Goods</t>
  </si>
  <si>
    <t xml:space="preserve"> - IEC program to vulnerable sectors</t>
  </si>
  <si>
    <t xml:space="preserve"> - 1 hi-siding mini truck</t>
  </si>
  <si>
    <t xml:space="preserve"> - Service Vehicle (closed van)</t>
  </si>
  <si>
    <t xml:space="preserve"> - Desktop Computer with Printer &amp; UPS (4pcs)</t>
  </si>
  <si>
    <t xml:space="preserve"> - General Revision (Office Supply)</t>
  </si>
  <si>
    <t xml:space="preserve"> - December Celebration (Foundation Day)</t>
  </si>
  <si>
    <t xml:space="preserve"> - Other Activities (KASANGGAYAHAN, Women's Month, February, Etc.)</t>
  </si>
  <si>
    <t xml:space="preserve"> - Flaglets (Flag Poles)</t>
  </si>
  <si>
    <t xml:space="preserve"> - Construction of Stall for Ambulant Vendors in Rompeolas</t>
  </si>
  <si>
    <t xml:space="preserve"> - Improvement of City Tourism Site Office at Rompeolas</t>
  </si>
  <si>
    <t xml:space="preserve"> - Improvement of Massage Parlor at Rompeolas</t>
  </si>
  <si>
    <t xml:space="preserve"> - Construction of Board Walk at Buhatan River Cruise</t>
  </si>
  <si>
    <t xml:space="preserve"> - Construction of Uniform Cottages abd Public CR at Caricaran Beach Resorts</t>
  </si>
  <si>
    <t xml:space="preserve"> - Improvement of Bacon Boulevard</t>
  </si>
  <si>
    <t xml:space="preserve"> - Improvement of Center Islands</t>
  </si>
  <si>
    <t xml:space="preserve"> - Improvement of Landscaping at Rompeolas</t>
  </si>
  <si>
    <t xml:space="preserve"> - Installation of Solar Lights at Rompeolas</t>
  </si>
  <si>
    <t xml:space="preserve"> - Development of a System to gather Tourist Arrival</t>
  </si>
  <si>
    <t xml:space="preserve"> - Portalets</t>
  </si>
  <si>
    <t xml:space="preserve"> - Painting Exhibit</t>
  </si>
  <si>
    <t xml:space="preserve"> - Video - Making Contest</t>
  </si>
  <si>
    <t xml:space="preserve"> - table and door signs (for 2022 newly set of SP Members)</t>
  </si>
  <si>
    <t xml:space="preserve"> - wall picture frame/display (for 2022 newly set of SP Members)</t>
  </si>
  <si>
    <t xml:space="preserve">    - shredder machine</t>
  </si>
  <si>
    <t xml:space="preserve">    - projector</t>
  </si>
  <si>
    <t xml:space="preserve">    - portable compact scanner</t>
  </si>
  <si>
    <t xml:space="preserve">    - bulletin board</t>
  </si>
  <si>
    <t>Capability Program for Farmers and Fisherfolk/Including IEC</t>
  </si>
  <si>
    <t>Assorted fruit tree seedlings, seeds, rootcrops and other nursery input supplies</t>
  </si>
  <si>
    <t>Livelihoood for Fisheries</t>
  </si>
  <si>
    <t xml:space="preserve"> - 3 Jeepney Vehicles</t>
  </si>
  <si>
    <t xml:space="preserve"> - Communication Equipment (Radio Equipment)</t>
  </si>
  <si>
    <t xml:space="preserve"> - Public Address System Enhancement</t>
  </si>
  <si>
    <t>Womens Production Center</t>
  </si>
  <si>
    <t>LGU - initiated recovery program for pandemic</t>
  </si>
  <si>
    <t>1-07-07-020</t>
  </si>
  <si>
    <t>Books</t>
  </si>
  <si>
    <t xml:space="preserve"> - Rabies Control Program</t>
  </si>
  <si>
    <t xml:space="preserve"> - Environmental Sanitation</t>
  </si>
  <si>
    <t xml:space="preserve"> - Health Education &amp; Promotion</t>
  </si>
  <si>
    <t xml:space="preserve"> - Vector Borne/ Water - borne Diseases</t>
  </si>
  <si>
    <t xml:space="preserve"> - Incentives for Health Workers</t>
  </si>
  <si>
    <t xml:space="preserve"> - Amubulance Driver (3 j.o.)</t>
  </si>
  <si>
    <t xml:space="preserve"> - MD's, Retainer (Psychiatrist, Pathologist, Nephrologist)</t>
  </si>
  <si>
    <t xml:space="preserve"> - Desktop Computer (2 units)</t>
  </si>
  <si>
    <t xml:space="preserve"> - Laptop (2 units)</t>
  </si>
  <si>
    <t xml:space="preserve"> - Vaccine Refrigerator</t>
  </si>
  <si>
    <t>2022 Alternative Learning System Educational Assistance Grant and Literacy Program</t>
  </si>
  <si>
    <t xml:space="preserve"> - Other MOOE-BRIGADA ESKWELA (12,000 x87 no. of schools)</t>
  </si>
  <si>
    <t xml:space="preserve"> 2% of RPT (past year actual)</t>
  </si>
  <si>
    <t xml:space="preserve"> - Payment for Tipping Fee</t>
  </si>
  <si>
    <t>Funiture and Fixtures</t>
  </si>
  <si>
    <t xml:space="preserve"> - Bread flour &amp; other ingredients for nutritious bread, etc.</t>
  </si>
  <si>
    <t xml:space="preserve"> - Conduct of tree growing  activities Sagip Puno </t>
  </si>
  <si>
    <t>sub-total for TOURISM</t>
  </si>
  <si>
    <t>11. SUSTENIR program</t>
  </si>
  <si>
    <t>5000X64</t>
  </si>
  <si>
    <t>MANDATORY</t>
  </si>
  <si>
    <t>NATL TAX ALLOTMENT -NTA</t>
  </si>
  <si>
    <t>Hiring of Job Order</t>
  </si>
  <si>
    <t>Capability Building of CVO Personnel (AI Training for Large Cattle)</t>
  </si>
  <si>
    <t>Trainings/Seminars on Animal Production Technology</t>
  </si>
  <si>
    <t>Acquisition of Veterinary Biologics (Anti-rabies Vaccine)</t>
  </si>
  <si>
    <t xml:space="preserve"> - 2 breeder boars</t>
  </si>
  <si>
    <t xml:space="preserve"> - Feeds</t>
  </si>
  <si>
    <r>
      <t>Other</t>
    </r>
    <r>
      <rPr>
        <sz val="11"/>
        <color theme="1"/>
        <rFont val="Candara"/>
        <family val="2"/>
      </rPr>
      <t xml:space="preserve"> </t>
    </r>
    <r>
      <rPr>
        <sz val="10"/>
        <color theme="1"/>
        <rFont val="Candara"/>
        <family val="2"/>
      </rPr>
      <t>Supplies and Materials Expenses</t>
    </r>
  </si>
  <si>
    <t xml:space="preserve">  - Maintenance and Operation of City Sanitary Landfill</t>
  </si>
  <si>
    <t xml:space="preserve"> - Conduct of Coastal and River Clean Ups</t>
  </si>
  <si>
    <t xml:space="preserve"> - Conduct of Environmental Lectures and Trainings </t>
  </si>
  <si>
    <t xml:space="preserve"> - Conduct of inspection relative to environemnt-related complaints</t>
  </si>
  <si>
    <t xml:space="preserve"> - Inspection of trees in relation to application  for LGU certification interposing NO objection</t>
  </si>
  <si>
    <t xml:space="preserve"> - Conduct of City Solid Waste managemetn Board  Meetings</t>
  </si>
  <si>
    <t xml:space="preserve"> - Participation in Environment-Related Trainings and Seminars</t>
  </si>
  <si>
    <t xml:space="preserve"> - Application of Environmental Permits of LGU projects /activities</t>
  </si>
  <si>
    <t xml:space="preserve"> - Operation and Maintenance of Service Vehicle</t>
  </si>
  <si>
    <t>Machinery Equipment</t>
  </si>
  <si>
    <t>1-07-06-990</t>
  </si>
  <si>
    <t>Other Transportation Equipment</t>
  </si>
  <si>
    <t xml:space="preserve"> - Enhancement/improvement of nursery/model farm (fencing, farm alley, shed)</t>
  </si>
  <si>
    <t xml:space="preserve"> - Service Vehicle</t>
  </si>
  <si>
    <t>5M</t>
  </si>
  <si>
    <t xml:space="preserve"> - Monitoring of the Implementation of Ten-Point Agenda (IEC)</t>
  </si>
  <si>
    <t xml:space="preserve"> - Overtime Pay</t>
  </si>
  <si>
    <t xml:space="preserve"> - Surveying/ Monumenting/ Titling</t>
  </si>
  <si>
    <t xml:space="preserve"> - Inspection cost, Permits, License, Application cost, Processing of land conversion</t>
  </si>
  <si>
    <t xml:space="preserve"> - Internet Subscription Expenses</t>
  </si>
  <si>
    <t xml:space="preserve"> - Other Maintenance and Operating Expenses</t>
  </si>
  <si>
    <t xml:space="preserve"> - Other General Services</t>
  </si>
  <si>
    <t>Stocks for Tilapia Hatchery (Breeder) and Feeds</t>
  </si>
  <si>
    <t>Supplies and Materials for verification trials and research</t>
  </si>
  <si>
    <t>Marketing Support to farmers and fisherfolk</t>
  </si>
  <si>
    <t>Social Pension</t>
  </si>
  <si>
    <t>Centenarian</t>
  </si>
  <si>
    <t>Comprehensive Program for Street Children</t>
  </si>
  <si>
    <t>Recovery Reintegration Program for Trafficked Person (RRPTP)</t>
  </si>
  <si>
    <t>Cash for Work</t>
  </si>
  <si>
    <t>Welfare Goods Assistance</t>
  </si>
  <si>
    <t xml:space="preserve"> - Kadiwa Center/ Market Outlet and Village level seaweeds facility</t>
  </si>
  <si>
    <t xml:space="preserve"> - Water Supply and Enhancement of Tilapia Hatchery</t>
  </si>
  <si>
    <t>Mandana's Ruling</t>
  </si>
  <si>
    <t xml:space="preserve"> - reviewers for law/ engineering/ teachers/ medicene/ accounting/ environment/ social work/ etc.</t>
  </si>
  <si>
    <t xml:space="preserve">   - other library equipment and materials</t>
  </si>
  <si>
    <t xml:space="preserve">   - bookshelves/ tables/ chairs</t>
  </si>
  <si>
    <t xml:space="preserve"> - JUCCASOM</t>
  </si>
  <si>
    <t>res</t>
  </si>
  <si>
    <t>GRAND TOTAL 11 POINTS AGENDA</t>
  </si>
  <si>
    <t>MAXIMUM 400KX12MOS</t>
  </si>
  <si>
    <t xml:space="preserve"> - Distribution of Titles/ Deed of donation/ Cert. of lot entitlement</t>
  </si>
  <si>
    <t>Urban Poor Program/ Informal Settlers/ Shelter, Housing and Community Development Programs, Project and Activities (reorgnization and monitoring)</t>
  </si>
  <si>
    <t xml:space="preserve"> - School Bags (Assorted sizes)</t>
  </si>
  <si>
    <t xml:space="preserve"> - Uniform (T-shirt)</t>
  </si>
  <si>
    <t>Office Supplies</t>
  </si>
  <si>
    <t xml:space="preserve"> - assistance to Barangay Association for Senior Citizens Affair (BASCA) and other Senior Citizens activities and Programs</t>
  </si>
  <si>
    <t xml:space="preserve"> - motorcycle</t>
  </si>
  <si>
    <t xml:space="preserve"> - pickup</t>
  </si>
  <si>
    <t xml:space="preserve"> - PHN 11 (3/DHOs, 1SHC, 1CHO)</t>
  </si>
  <si>
    <t xml:space="preserve"> - RHM, 8 JOs </t>
  </si>
  <si>
    <t xml:space="preserve"> - Ambulance Driver, 2 (CHO Main)</t>
  </si>
  <si>
    <t xml:space="preserve"> - Encoders, 2 JOs </t>
  </si>
  <si>
    <t xml:space="preserve"> - sound system/furnitures &amp; fixtures for Bacon Satellite Office)</t>
  </si>
  <si>
    <t>Agriculture Program</t>
  </si>
  <si>
    <t>Animal &amp; Livestock Program (c/o City Veterinary)</t>
  </si>
  <si>
    <t xml:space="preserve"> - Acquisition of Veterinary Medicine</t>
  </si>
  <si>
    <t xml:space="preserve"> - Egg Incubator</t>
  </si>
  <si>
    <t xml:space="preserve"> - Centralized Recording of Daily Slaughterhouse Production and Collection</t>
  </si>
  <si>
    <t xml:space="preserve"> - Enhancement of Slaughterhouse Water Supply</t>
  </si>
  <si>
    <t xml:space="preserve"> - Improvement of Slaughterhouse Equipment &amp; Facilities</t>
  </si>
  <si>
    <t>IMPLEMENTING RULES AND REGULATIONS OF EXECUTIVE ORDER NQ. 138, S. 2021</t>
  </si>
  <si>
    <t xml:space="preserve">Various Information Education Campaign for City Programs, Projects and Activities- MAESTERHAMOR PROGRAMS - Market, Agriculture, Economic Development, Social Services, Tourism, Education, Rural Development, Environmental and Natural Resources, Health, Animal Welfare, Marine life protection, Opportunities for employment, Recreation and sports Development and Devolved Programs
</t>
  </si>
  <si>
    <t>CITY INFORMATION &amp; COMMUNICATIONS TECHNOLOGY OFFICE</t>
  </si>
  <si>
    <t>City Information &amp; Communications Technology Office</t>
  </si>
  <si>
    <t xml:space="preserve"> - Rehabilitation of Market</t>
  </si>
  <si>
    <t>LBP Form No. 2 - Annex F</t>
  </si>
  <si>
    <t>5-02-13-030</t>
  </si>
  <si>
    <t>Repairs and Maintenance - Infrastructure Assets</t>
  </si>
  <si>
    <t>5-02-13-020</t>
  </si>
  <si>
    <t>Repairs and Maintenance - Land Improvements</t>
  </si>
  <si>
    <t>TRAFFIC ENFORCEMENT AND CITATION OFFICE</t>
  </si>
  <si>
    <t>Construction of Bahay Pag-asa (Phase II)</t>
  </si>
  <si>
    <t>Establishment of Relocation Site to include Lot Purchase</t>
  </si>
  <si>
    <t>Construction/ Improvement of Water System</t>
  </si>
  <si>
    <t>Construction/ Repair/ Improvement of day care centers</t>
  </si>
  <si>
    <t>Construction of FMR</t>
  </si>
  <si>
    <t>Improvement of Sorsogon City Public Market</t>
  </si>
  <si>
    <t>Rehabilitation of Cold Storage Facility</t>
  </si>
  <si>
    <t>Purchase of Dump Truck</t>
  </si>
  <si>
    <t>Repair of Sorsogon City Public Market Waste Water Treament Facility</t>
  </si>
  <si>
    <t>INFRASTRUCTURE DEVELOPMENT</t>
  </si>
  <si>
    <t>Construction/ Installation of Solar Street Lights</t>
  </si>
  <si>
    <t>Construction/ Repair of River Control/ Slope Protection</t>
  </si>
  <si>
    <t>Assistance to Lupon ng mga Tagapamayapa/ Katarungang pambarangay/ Barangay Agrarian Reform Committee (BARC)</t>
  </si>
  <si>
    <t xml:space="preserve"> - Trading Supplies/ Equipment for the KADIWA Facility</t>
  </si>
  <si>
    <t xml:space="preserve"> - Village Level Seaweeds Facility</t>
  </si>
  <si>
    <t>Food, Transportation (Including fuel) and Accomodation Expenses of Medical Personnel &amp; Other LGU Personnel directly Involved in the Implementation of COVID19 related programs, project and Activities (PPAS)</t>
  </si>
  <si>
    <t>Other Necessary COVID19 related expenses (Other Supplies and Other MOOE)</t>
  </si>
  <si>
    <t>Repair of Permanent Quaratine Facility</t>
  </si>
  <si>
    <t>Construction of Market Stalls, Roof Cover &amp; Storage @ Sorsogon City Public Market</t>
  </si>
  <si>
    <t>Repair/ Rehabilitation of Roads at Purok 3 Brgy. Pangpang West District Sorsogon City</t>
  </si>
  <si>
    <t>Construction of Foorbridge</t>
  </si>
  <si>
    <t xml:space="preserve"> - Procurement of (1) unit of Backhoe Loader</t>
  </si>
  <si>
    <t xml:space="preserve"> - Procurement of (1) unit Road Roller for compacting and grading</t>
  </si>
  <si>
    <t>NOTE:</t>
  </si>
  <si>
    <t>BALAY NA DAKU</t>
  </si>
  <si>
    <t>Longevity Pay</t>
  </si>
  <si>
    <t>5-01-02-120</t>
  </si>
  <si>
    <t>52x50012mos</t>
  </si>
  <si>
    <t>CONSOLIDATED BUDGET FOR CY 2023</t>
  </si>
  <si>
    <t xml:space="preserve"> - 1 unit/district Laptop </t>
  </si>
  <si>
    <t>Establishment and Operation  of Tilapia Hatchery</t>
  </si>
  <si>
    <t>Perimeter Fence , Farm Shed  and Irrigation Facilities of Seed Farm</t>
  </si>
  <si>
    <t>Persons with Disability (Auxiliary 
Services)</t>
  </si>
  <si>
    <t>Sustainable Livelihood Program</t>
  </si>
  <si>
    <t>Rice Assistance</t>
  </si>
  <si>
    <t>Construction  of Bahay Pag-asa</t>
  </si>
  <si>
    <t>Repair/Construction  of day care centers</t>
  </si>
  <si>
    <t>Women Production Center</t>
  </si>
  <si>
    <t>MEDICINE (5M each) From Province infront of Coast Guard  amo ang magiging 24/7 botika</t>
  </si>
  <si>
    <t>65)</t>
  </si>
  <si>
    <t>CMO-CITY SPECIAL PROGRAMS, PROJECTS &amp; ACTIVITIES (included Senior Citizen Programs and 10 pts Agenda Plus One)</t>
  </si>
  <si>
    <t>5. SEGURIDAD, KAAYUSAN, KATRANQUILOHAN ASIN KASUWAGAN (sk3)/ 7K PROGRAM - KATRANQUILOHAN</t>
  </si>
  <si>
    <t>6. SULAY SA FUTURO (YOUTH ASSISTANCE PROGRAM) / 7K PROGRAM - KADUNUNGAN PROGRAM</t>
  </si>
  <si>
    <t>TOURISM/ CULTURAL / 7K PROGRAM - KAGANDAHAN PROGRAM</t>
  </si>
  <si>
    <t>8. SELFIE PROGRAM-Sorsogon Exclusively Living For Individual Enhancement / 7K PROGRAM - KATRANQUILOHAN PROGRAM</t>
  </si>
  <si>
    <t>9 . Taas Noo! Ciudadano Ako (Mass Housing Program)  / 7K PROGRAM</t>
  </si>
  <si>
    <t>Telephone  Expenses</t>
  </si>
  <si>
    <t xml:space="preserve"> - bookbinding of resolutions  and 
   ordinances</t>
  </si>
  <si>
    <t xml:space="preserve">   - Legislative Kiosks and Paperless Session</t>
  </si>
  <si>
    <t xml:space="preserve"> - Garbage Sacks/Bags</t>
  </si>
  <si>
    <t>Repairs and Maintenance  of Gayon Sorsogon - Environmental Program Vehicles and Heavy Equipment</t>
  </si>
  <si>
    <t>Reforestation Programs and Activities</t>
  </si>
  <si>
    <t xml:space="preserve"> - Conduct of City Solid Waste managemet Board  Meetings</t>
  </si>
  <si>
    <t>Procurement of GPS Device and accessories</t>
  </si>
  <si>
    <t>Sub-total for Animal &amp; Livestock Program</t>
  </si>
  <si>
    <t>Sub-total for Tanging Yaman (Agriculture)</t>
  </si>
  <si>
    <t>Operation and Maintenance of Livestock &amp; Poultry</t>
  </si>
  <si>
    <t>Operation and Maintenance of Artificial Insemination Center</t>
  </si>
  <si>
    <t>Improvement of Slaughterhouse Equipment &amp; Facilities</t>
  </si>
  <si>
    <t>Maitenance of City Nursery</t>
  </si>
  <si>
    <t>Community Organization and Strengthening and assistance to fisherfolk/Pos</t>
  </si>
  <si>
    <t>Supplies and materials for FLET</t>
  </si>
  <si>
    <t>Maitenance and Protection of Marine Protected Areas and Fish Sanctuaries</t>
  </si>
  <si>
    <t xml:space="preserve"> - Service Vehicle (hauling of inputs)</t>
  </si>
  <si>
    <t xml:space="preserve"> - Operation &amp; Maint. of City Animal Pound Operation &amp; Impounding of Stray Animals</t>
  </si>
  <si>
    <t xml:space="preserve"> - Operation of Animal Farmers   
   Assistance Center (AFAC)</t>
  </si>
  <si>
    <t xml:space="preserve"> - Maintenance &amp; Operation of Sanitary Landfill </t>
  </si>
  <si>
    <t xml:space="preserve"> - Uniform T-shirt (2pcs x 45,000 Students)</t>
  </si>
  <si>
    <t xml:space="preserve"> - School Bags (Additional Assorted sizes)</t>
  </si>
  <si>
    <t xml:space="preserve"> - Bread Making Ingredients, etc.</t>
  </si>
  <si>
    <t>SPORTS DEVELOPMENT</t>
  </si>
  <si>
    <t xml:space="preserve"> - Trophies (Assorted sizes)</t>
  </si>
  <si>
    <t xml:space="preserve"> - Medal (customized)</t>
  </si>
  <si>
    <t xml:space="preserve"> - Sports Supplies</t>
  </si>
  <si>
    <t xml:space="preserve"> - Supervising Baker (1x22 daysx12 mos. @500.00)</t>
  </si>
  <si>
    <t xml:space="preserve"> - Master Bakers (3x22days x 12mos. @ 500.00</t>
  </si>
  <si>
    <t xml:space="preserve"> - Asst. Bakers (6x22days x 12mos. @ 365.00)</t>
  </si>
  <si>
    <t xml:space="preserve"> - Driver (Delivery Van) (3x22days x 12mos. @365.00)</t>
  </si>
  <si>
    <t xml:space="preserve"> - Driver (Motorcycle/Monitoring) (3x22days x 12mos. @365.00)</t>
  </si>
  <si>
    <t xml:space="preserve"> - Staff, Monitoring, Delivery Crew (13x22days x 12mos. @365.00)</t>
  </si>
  <si>
    <t xml:space="preserve"> - City Bus Driver (1x26days x 12mos. @400.00)</t>
  </si>
  <si>
    <t xml:space="preserve"> - School Supplies (43,000 sets)</t>
  </si>
  <si>
    <t>Other Professional Services (CDW)</t>
  </si>
  <si>
    <t xml:space="preserve"> - Early Childhood Care and
   Development (ECCD) Program &amp; Other     
   Expenses</t>
  </si>
  <si>
    <t xml:space="preserve"> - Financial Aide to retired CDWs</t>
  </si>
  <si>
    <t xml:space="preserve"> - Family Welfare Program</t>
  </si>
  <si>
    <t xml:space="preserve"> - Assistance to LGBTQA+</t>
  </si>
  <si>
    <t xml:space="preserve"> - Assistance to Individual in Crisis Situation (AICS)</t>
  </si>
  <si>
    <t xml:space="preserve"> - Pharmacist, 2 JO (2 new City Pharmacies)</t>
  </si>
  <si>
    <t xml:space="preserve"> - Amubulance Driver (2 JO`s)</t>
  </si>
  <si>
    <t xml:space="preserve"> - Utility Worker, 4 JOs </t>
  </si>
  <si>
    <t>Furnitures &amp; Fixtures</t>
  </si>
  <si>
    <t>excess</t>
  </si>
  <si>
    <t xml:space="preserve"> - Pharmacist, 2 JO ( 2 New City    
    Pharmacies)</t>
  </si>
  <si>
    <t xml:space="preserve"> - MD's Retainer (Psychiatrist,
    Pathologist)</t>
  </si>
  <si>
    <t xml:space="preserve"> - Pharmacy Assistants, 3 JO (2 new City Pharmacies)</t>
  </si>
  <si>
    <t>Traveling Expenses - Foreign</t>
  </si>
  <si>
    <t>5-02-01-020</t>
  </si>
  <si>
    <t xml:space="preserve"> - Uniforms</t>
  </si>
  <si>
    <t xml:space="preserve"> - Election (National Local Barangay)</t>
  </si>
  <si>
    <t>12. ACODER (Assistance for the Care of Offspring or Dependents and Elders Rescue) Program</t>
  </si>
  <si>
    <t xml:space="preserve"> - Purchase of ID maker (complete set)</t>
  </si>
  <si>
    <t>mayor-provlhospital</t>
  </si>
  <si>
    <t xml:space="preserve">final </t>
  </si>
  <si>
    <t>Team building activity-Yr-end Assessment</t>
  </si>
  <si>
    <t>Hiring of Job Orders-Other General Services</t>
  </si>
  <si>
    <t xml:space="preserve"> - Painting Contest Exhibit</t>
  </si>
  <si>
    <t xml:space="preserve"> - Construction of Skate Park ,Skate,Bike, Scooter, Roller Blades)</t>
  </si>
  <si>
    <t>-Deveolpment of Youth  Sports Center</t>
  </si>
  <si>
    <t>Printing,fabrication and installation of street Post Banner with Tubular Frame</t>
  </si>
  <si>
    <t>MANDANAS</t>
  </si>
  <si>
    <t>mayor</t>
  </si>
  <si>
    <t xml:space="preserve"> - Water &amp; Other Beverages</t>
  </si>
  <si>
    <t>Other Professional Expenses</t>
  </si>
  <si>
    <t>Sports Equipment</t>
  </si>
  <si>
    <t xml:space="preserve"> - Bakal Paray/ Tinda Bugas Hali sa Paray</t>
  </si>
  <si>
    <t xml:space="preserve"> - Abono Loan Program for Rice Farmers</t>
  </si>
  <si>
    <t xml:space="preserve"> - Abono Loan Program for High Value Crop Farmers</t>
  </si>
  <si>
    <t xml:space="preserve"> - Ready-to-Breed Gilt Load Program</t>
  </si>
  <si>
    <t xml:space="preserve"> - Fishing Sector</t>
  </si>
  <si>
    <t xml:space="preserve"> - Cash Assistance </t>
  </si>
  <si>
    <t xml:space="preserve"> - Ayuda sa mga Nanganagipong LGBTQ</t>
  </si>
  <si>
    <t xml:space="preserve"> - Ayuda sa mga Tugang tang Para-Karagumoy</t>
  </si>
  <si>
    <t>Handicraft Industry</t>
  </si>
  <si>
    <t>Other Sector</t>
  </si>
  <si>
    <t>50M - Pabahay LGU Counter part</t>
  </si>
  <si>
    <t>Buenavista West ~ 10M</t>
  </si>
  <si>
    <t>Buenavista East ~10M</t>
  </si>
  <si>
    <t>24hrs botika front Coast Guard ~5M</t>
  </si>
  <si>
    <t>Salvacion Bacon ~10M</t>
  </si>
  <si>
    <t>Botika sa City ~5M</t>
  </si>
  <si>
    <t>Rizal West ~10M</t>
  </si>
  <si>
    <t xml:space="preserve">Other Professional Services </t>
  </si>
  <si>
    <t>OFFICES</t>
  </si>
  <si>
    <t>BASED FROM</t>
  </si>
  <si>
    <t xml:space="preserve"> - PS</t>
  </si>
  <si>
    <t>SPPA</t>
  </si>
  <si>
    <t xml:space="preserve"> - 10 PT AGENDA</t>
  </si>
  <si>
    <t>2021 - ADJUSTED</t>
  </si>
  <si>
    <t xml:space="preserve"> - 7K PROGRAMS</t>
  </si>
  <si>
    <t>2022 - CAPITOL</t>
  </si>
  <si>
    <r>
      <t xml:space="preserve"> - MOOE (2021: </t>
    </r>
    <r>
      <rPr>
        <b/>
        <sz val="12"/>
        <color theme="1"/>
        <rFont val="Calibri"/>
        <family val="2"/>
      </rPr>
      <t>279,220,536.74</t>
    </r>
    <r>
      <rPr>
        <sz val="12"/>
        <color theme="1"/>
        <rFont val="Calibri"/>
        <family val="2"/>
      </rPr>
      <t>)</t>
    </r>
  </si>
  <si>
    <r>
      <t xml:space="preserve"> - CO (2021: </t>
    </r>
    <r>
      <rPr>
        <b/>
        <sz val="12"/>
        <color theme="1"/>
        <rFont val="Calibri"/>
        <family val="2"/>
      </rPr>
      <t>33,703,795.51</t>
    </r>
    <r>
      <rPr>
        <sz val="12"/>
        <color theme="1"/>
        <rFont val="Calibri"/>
        <family val="2"/>
      </rPr>
      <t>)</t>
    </r>
  </si>
  <si>
    <t>sppa 2022: 466,277,380.00</t>
  </si>
  <si>
    <t>2021 - ADJUSTED WITH RES FOR MANDANAS</t>
  </si>
  <si>
    <t>Road Networks</t>
  </si>
  <si>
    <t>1-07-03-010</t>
  </si>
  <si>
    <t xml:space="preserve"> - Annual Medical checkup for government employees</t>
  </si>
  <si>
    <t>3M per quarter</t>
  </si>
  <si>
    <t xml:space="preserve"> - Titling of lands</t>
  </si>
  <si>
    <t xml:space="preserve"> - IEC material for women sector</t>
  </si>
  <si>
    <t>GAD Women/ Children</t>
  </si>
  <si>
    <t xml:space="preserve"> - Uniform Shorts/Palda</t>
  </si>
  <si>
    <t>Buenavista Bacon ~20M</t>
  </si>
  <si>
    <t>11M charge to 20% 9M charge to savings from share of national wealth</t>
  </si>
  <si>
    <t>12M PLGU share/ LGU share 12M</t>
  </si>
  <si>
    <t>mayor/minus 1.5M to permits stickers</t>
  </si>
  <si>
    <t>for suppl lacking</t>
  </si>
  <si>
    <t>incldg.mayr and vice cto per/ agri 7.5k/ cswdo/ cgso</t>
  </si>
  <si>
    <t>based from DTP</t>
  </si>
  <si>
    <t xml:space="preserve"> based from DPT @184,000.00</t>
  </si>
  <si>
    <t>no amount from DTP</t>
  </si>
  <si>
    <t>not included from DTP</t>
  </si>
  <si>
    <t>requirement from DILG</t>
  </si>
  <si>
    <t>promotional materials @ SPPA Gayon(tourism) @300,000.00</t>
  </si>
  <si>
    <t xml:space="preserve">  for Botika sa City and Botika ng Bayan(24 hrs)</t>
  </si>
  <si>
    <t>TOTAL APPROPRIATIONS for KALUSUGAN MO SAGOT KO /7K PROGRAM-KALUSUGAN</t>
  </si>
  <si>
    <t>TOTAL APPROPRIATIONS FOR TANGING YAMAN/7K PROGRAM KABUHAYAN</t>
  </si>
  <si>
    <t>11. SUSTENIR program/7K Kalusugan program</t>
  </si>
  <si>
    <t>TOTAL APPROPRIATIONS FOR SK 3/7K PROGRAM KATRANQUILUHAN</t>
  </si>
  <si>
    <t>7. GAYON SORSOGON (ENVIRONMENTAL &amp; TOURISM PROGRAM) / 7K PROGRAM - KALINIGAN PROGRAM</t>
  </si>
  <si>
    <t xml:space="preserve"> - Hiring of Job Orders</t>
  </si>
  <si>
    <t>PROGRAMMED APPROPRIATION AND OBLIGATION FOR SPECIAL PURPOSE APPROPRIATIONS</t>
  </si>
  <si>
    <t>LBP Form No. 2-A - Annex G</t>
  </si>
  <si>
    <t>AIP Reference Code</t>
  </si>
  <si>
    <t>Closure and Rehabilitation  of Buenavista Disposal Facility</t>
  </si>
  <si>
    <t>Sub-total for Environmental Protection Program (Solid Waste Management)</t>
  </si>
  <si>
    <t>- 3D Street Art at Rompeolas</t>
  </si>
  <si>
    <t>TOTAL SELFIE PROGRAM-Sorsogon Exclusively Living For Individual Enhancement / 7K PROGRAM - KATRANQUILOHAN PROGRAM</t>
  </si>
  <si>
    <t>TOTAL Taas Noo! Ciudadano Ako (Mass Housing Program)  / 7K PROGRAM</t>
  </si>
  <si>
    <t>TOTAL Merkado ko, Urgolyo Ko Program</t>
  </si>
  <si>
    <t>TOTAL SUSTENIR program/7K Kalusugan program</t>
  </si>
  <si>
    <t>TOTAL ACODER (Assistance for the Care of Offspring or Dependents and Elders Rescue) Program</t>
  </si>
  <si>
    <t>TOTAL GROUPIE Program</t>
  </si>
  <si>
    <t>TOTAL TOURISM/ CULTURAL / 7K PROGRAM - KAGANDAHAN PROGRAM</t>
  </si>
  <si>
    <t>BALAY NA DAKO</t>
  </si>
  <si>
    <t>TOTAL BALAY NA DAKO</t>
  </si>
  <si>
    <t xml:space="preserve"> - Water Expenses</t>
  </si>
  <si>
    <t xml:space="preserve"> - Travel Expenses</t>
  </si>
  <si>
    <t xml:space="preserve"> - Seminar and Trainings</t>
  </si>
  <si>
    <t xml:space="preserve"> - Other MOOE</t>
  </si>
  <si>
    <t xml:space="preserve"> - Computer Set</t>
  </si>
  <si>
    <t>1.KALUSUGAN MO SAGOT KO (HEALTH PROGRAM)/7K  PROGRAM - KALUSUGAN</t>
  </si>
  <si>
    <t>2. YES TO CHILDREN ASSISTANCE (YCAP)/ 7K PROGRAM - KADUNUNGAN</t>
  </si>
  <si>
    <t>TOTAL APPROPRIATIONS FOR YCAP/ 7K PROGRAM KADUNUNGAN</t>
  </si>
  <si>
    <t>3. TANGING YAMAN/ 7K PROGRAM - KABUHAYAN</t>
  </si>
  <si>
    <t>Animal &amp; Livestock Program (c/o City Veterinary)/7K PROGRAM - KABUHAYAN</t>
  </si>
  <si>
    <t xml:space="preserve">TOTAL APPROPRIATIONS For SULAY SA FUTURO/ 7K PROGRAM KADUNUNGAN </t>
  </si>
  <si>
    <t>res moved to balay na dako</t>
  </si>
  <si>
    <t>res moded to sustiner</t>
  </si>
  <si>
    <t>LGU Counter Part (Kagandahan Program) - Other Maintenance and Operating Expenses</t>
  </si>
  <si>
    <t xml:space="preserve"> - Ayuda sa mga Tindera/Tindero sa Saudan</t>
  </si>
  <si>
    <t xml:space="preserve"> - Ayuda sa mga Paragunting/ Manicurista/Barbero</t>
  </si>
  <si>
    <t xml:space="preserve"> - Libreng Paarado Program</t>
  </si>
  <si>
    <t xml:space="preserve"> - Libreng Paani</t>
  </si>
  <si>
    <t xml:space="preserve"> - Libreng Goma sa mga Para-Pasada (Tricycle Operatos/Drivers)</t>
  </si>
  <si>
    <t>LGU Counter Part (Katranquilohan Program) - Other Maintenance and Operating Expenses</t>
  </si>
  <si>
    <t>LGU Counter Part (Kalikasan Program) - Other Maintenance and Operating Expenses</t>
  </si>
  <si>
    <t>Personnel Protective Equipment (PPE)</t>
  </si>
  <si>
    <t>1000-2-01-001-072</t>
  </si>
  <si>
    <t>1000-2-01-001-073-05</t>
  </si>
  <si>
    <t>1000-2-01-001-073-06</t>
  </si>
  <si>
    <t>1000-2-01-001-073-07</t>
  </si>
  <si>
    <t>1000-2-01-001-073-08</t>
  </si>
  <si>
    <t>1000-2-01-001-073-09</t>
  </si>
  <si>
    <t>1000-2-01-001-073-10</t>
  </si>
  <si>
    <t>1000-2-01-001-150</t>
  </si>
  <si>
    <t>1000-2-01-001-073-12</t>
  </si>
  <si>
    <t>1000-2-01-001-073-13</t>
  </si>
  <si>
    <t>1000-2-01-001-071</t>
  </si>
  <si>
    <t>1000-2-01-001-071-01</t>
  </si>
  <si>
    <t>1000-2-01-001-071-16</t>
  </si>
  <si>
    <t>1000-2-01-001-071-15</t>
  </si>
  <si>
    <t>1000-2-01-001-071-17</t>
  </si>
  <si>
    <t>1000-2-01-001-071-14</t>
  </si>
  <si>
    <t>1000-2-01-001-071-02</t>
  </si>
  <si>
    <t>1000-2-01-001-071-07</t>
  </si>
  <si>
    <t>1000-2-01-001-071-08</t>
  </si>
  <si>
    <t>8000-2-01-015-007</t>
  </si>
  <si>
    <t>8000-2-01-015-007-01</t>
  </si>
  <si>
    <t>8000-2-01-015-007-11</t>
  </si>
  <si>
    <t>8000-2-01-015-007-06</t>
  </si>
  <si>
    <t>8000-2-01-015-007-07</t>
  </si>
  <si>
    <t>3000-2-01-016-019-04</t>
  </si>
  <si>
    <t>3000-2-01-016-019-05</t>
  </si>
  <si>
    <t>100-2-01-001-070-03</t>
  </si>
  <si>
    <t>3000-2-01-016-019-01</t>
  </si>
  <si>
    <t>3000-2-01-016-019-02</t>
  </si>
  <si>
    <t>3000-2-01-016-019-09</t>
  </si>
  <si>
    <t>1000-2-01-001-073</t>
  </si>
  <si>
    <t>1000-2-01-001-073-14</t>
  </si>
  <si>
    <t>1000-2-01-001-073-15</t>
  </si>
  <si>
    <t>1000-2-01-001-073-17</t>
  </si>
  <si>
    <t>1000-2-01-001-073-19</t>
  </si>
  <si>
    <t>1000-2-01-001-073-20</t>
  </si>
  <si>
    <t>1000-2-01-001-073-21</t>
  </si>
  <si>
    <t>1000-2-01-001-073-22</t>
  </si>
  <si>
    <t>1000-2-01-001-073-24</t>
  </si>
  <si>
    <t>1000-2-01-001-074</t>
  </si>
  <si>
    <t>1000-2-01-001-074-03</t>
  </si>
  <si>
    <t>1000-2-01-001-074-04</t>
  </si>
  <si>
    <t>1000-2-01-001-078</t>
  </si>
  <si>
    <t>1000-2-01-001-078-12</t>
  </si>
  <si>
    <t>1000-2-01-001-031</t>
  </si>
  <si>
    <t>8000-2-03-013-015</t>
  </si>
  <si>
    <t>8000-2-03-013-016</t>
  </si>
  <si>
    <t>3000-2-01-016-030-02</t>
  </si>
  <si>
    <t>8000-2-03-013-019</t>
  </si>
  <si>
    <t>8000-2-03-013-010</t>
  </si>
  <si>
    <t>1000-2-01-001-078-08</t>
  </si>
  <si>
    <t>8000-2-03-013-013</t>
  </si>
  <si>
    <t>8000-2-03-013-020</t>
  </si>
  <si>
    <t>8000-2-03-013-037</t>
  </si>
  <si>
    <t>8000-2-03-013-006</t>
  </si>
  <si>
    <t>8000-2-03-013-012</t>
  </si>
  <si>
    <t>8000-2-03-013-036</t>
  </si>
  <si>
    <t>8000-2-03-013-034</t>
  </si>
  <si>
    <t>8000-2-03-013-035</t>
  </si>
  <si>
    <t>8000-2-03-013-040</t>
  </si>
  <si>
    <t>8000-2-03-013-042</t>
  </si>
  <si>
    <t>8000-2-03-013-043</t>
  </si>
  <si>
    <t>8000-2-03-013-044</t>
  </si>
  <si>
    <t>8000-2-03-013-045</t>
  </si>
  <si>
    <t>8000-2-03-013-048</t>
  </si>
  <si>
    <t>8000-2-03-013-028</t>
  </si>
  <si>
    <t>1000-2-01-002-039</t>
  </si>
  <si>
    <t>1000-2-01-001-069</t>
  </si>
  <si>
    <t>1000-2-01-001-069-04</t>
  </si>
  <si>
    <t>1000-2-01-001-075</t>
  </si>
  <si>
    <t>1000-2-01-001-076</t>
  </si>
  <si>
    <t>1000-2-01-001-079</t>
  </si>
  <si>
    <t>1000-2-01-001-080</t>
  </si>
  <si>
    <t>9000-2-03-026</t>
  </si>
  <si>
    <t>1000-2-01-001-124</t>
  </si>
  <si>
    <t>1000-2-01-001-007</t>
  </si>
  <si>
    <t>1000-2-01-001-008</t>
  </si>
  <si>
    <t>1000-2-01-001-125</t>
  </si>
  <si>
    <t>1000-2-01-001-009</t>
  </si>
  <si>
    <t>3000-2-03-010-002</t>
  </si>
  <si>
    <t>1000-2-01-001-126</t>
  </si>
  <si>
    <t>1000-2-01-001-127</t>
  </si>
  <si>
    <t>1000-2-01-001-128</t>
  </si>
  <si>
    <t>1000-2-01-001-129</t>
  </si>
  <si>
    <t>1000-2-01-001-024</t>
  </si>
  <si>
    <t>1000-2-01-001-136</t>
  </si>
  <si>
    <t>1000-2-01-001-027</t>
  </si>
  <si>
    <t>1000-2-01-001-028</t>
  </si>
  <si>
    <t>1000-2-01-001-029</t>
  </si>
  <si>
    <t>1000-2-01-001-137</t>
  </si>
  <si>
    <t>9000-2-03-026-007-40</t>
  </si>
  <si>
    <t>1000-2-01-001-035</t>
  </si>
  <si>
    <t>1000-2-01-001-041</t>
  </si>
  <si>
    <t>1000-2-01-001-144</t>
  </si>
  <si>
    <t>LGU Counter Part (Kalinigan Program - Other Maintenance and Operating Expenses</t>
  </si>
  <si>
    <t xml:space="preserve"> - Doctor to the Household (Nurse Assistant)</t>
  </si>
  <si>
    <t>Human Resource Development Program (City Employees, Creation of Positions, etc.)</t>
  </si>
  <si>
    <t>Various Information Education Campaign for City Programs, Projects and Activities- MAESTERHAMOR PROGRAMS - Market, Agriculture, Economic Development, Social Services, Tourism, Education, Rural Development, Environmental and Natural Resources, Health, Animal Welfare, Marine life protection, Opportunities for employment, Recreation and sports Development and Devolved Programs / Convention Center</t>
  </si>
  <si>
    <t>move to MAESTER Program/ 10m tourism</t>
  </si>
  <si>
    <t>MAESTERHAMOR PROGRAMS</t>
  </si>
  <si>
    <t>10 POINTS AGENDA PLUS ONE PLUS ONE</t>
  </si>
  <si>
    <t>GRAND TOTAL</t>
  </si>
  <si>
    <t>DISASTER PREVENTION AND MITIGATION</t>
  </si>
  <si>
    <t>Construction/ Rehabilitation of Flood Control Structure</t>
  </si>
  <si>
    <t xml:space="preserve"> - Construction/ Rehabilitation of flood control @ Brgy. Slog and Burabod</t>
  </si>
  <si>
    <t xml:space="preserve"> - Construction of flood control @ Brgy. Bulabog</t>
  </si>
  <si>
    <t xml:space="preserve"> - Construction of drainage cana @ Sitio Bancal, Brgy. San Roque</t>
  </si>
  <si>
    <t>1-07-03-020</t>
  </si>
  <si>
    <t>Repair and Maintenance of Hydromet Stations</t>
  </si>
  <si>
    <t>Conduct of regular quarterly meeeting</t>
  </si>
  <si>
    <t>Conduct of Training and IECs on disaster preparedness and response</t>
  </si>
  <si>
    <t>Conduct of citywide B.E.R.T. Olympics</t>
  </si>
  <si>
    <t>Stockpiling of basic emergecny supplies (food, non-food, medicine)</t>
  </si>
  <si>
    <t>Medical Supplies Expenses</t>
  </si>
  <si>
    <t>Construction/ Rehabilitation of evacuation center</t>
  </si>
  <si>
    <t xml:space="preserve"> - Construction/ Improvement of Evacuation center @ Brgy. Rizal, West District</t>
  </si>
  <si>
    <t xml:space="preserve"> - Construction of Evacuation Center @ Brgy. Tugos, West District</t>
  </si>
  <si>
    <t>Rehabilitation/ Improvement of Emergency operation Center</t>
  </si>
  <si>
    <t>Construction of DRR Warehouse</t>
  </si>
  <si>
    <t xml:space="preserve"> - Procurement of rescue equipment, gears and supplies (PPE's, etc)</t>
  </si>
  <si>
    <t xml:space="preserve"> - Procurement of DRR truck</t>
  </si>
  <si>
    <t>1000-2-01-001-070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</si>
</sst>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1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sz val="36"/>
      <color theme="1"/>
      <name val="Calibri"/>
      <family val="2"/>
      <scheme val="minor"/>
    </font>
    <font>
      <b/>
      <sz val="10"/>
      <color theme="1"/>
      <name val="Calibri"/>
      <family val="2"/>
      <scheme val="minor"/>
    </font>
    <font>
      <sz val="11"/>
      <name val="Calibri"/>
      <family val="2"/>
      <scheme val="minor"/>
    </font>
    <font>
      <b/>
      <i/>
      <sz val="10"/>
      <color theme="1"/>
      <name val="Century Gothic"/>
      <family val="2"/>
    </font>
    <font>
      <sz val="11"/>
      <color theme="1"/>
      <name val="Calibri"/>
      <family val="2"/>
    </font>
    <font>
      <b/>
      <sz val="11"/>
      <color theme="1"/>
      <name val="Calibri"/>
      <family val="2"/>
    </font>
    <font>
      <sz val="11"/>
      <color rgb="FFFF0000"/>
      <name val="Arial"/>
      <family val="2"/>
    </font>
    <font>
      <sz val="11"/>
      <color theme="7" tint="-0.499984740745262"/>
      <name val="Arial"/>
      <family val="2"/>
    </font>
    <font>
      <sz val="10"/>
      <color theme="7" tint="-0.499984740745262"/>
      <name val="Arial"/>
      <family val="2"/>
    </font>
    <font>
      <b/>
      <sz val="10"/>
      <color theme="1"/>
      <name val="Calibri"/>
      <family val="2"/>
    </font>
    <font>
      <sz val="20"/>
      <color theme="1"/>
      <name val="Calibri"/>
      <family val="2"/>
      <scheme val="minor"/>
    </font>
    <font>
      <i/>
      <sz val="20"/>
      <color theme="1"/>
      <name val="Monotype Corsiva"/>
      <family val="4"/>
    </font>
    <font>
      <b/>
      <i/>
      <sz val="18"/>
      <color theme="1"/>
      <name val="Calibri"/>
      <family val="2"/>
    </font>
    <font>
      <sz val="14"/>
      <color theme="1"/>
      <name val="Calibri"/>
      <family val="2"/>
      <scheme val="minor"/>
    </font>
    <font>
      <sz val="16"/>
      <color theme="1"/>
      <name val="Century Gothic"/>
      <family val="2"/>
    </font>
    <font>
      <sz val="16"/>
      <color theme="1"/>
      <name val="Arial"/>
      <family val="2"/>
    </font>
    <font>
      <b/>
      <sz val="16"/>
      <color rgb="FFFF0000"/>
      <name val="Arial"/>
      <family val="2"/>
    </font>
    <font>
      <sz val="16"/>
      <color theme="1"/>
      <name val="Agency FB"/>
      <family val="2"/>
    </font>
    <font>
      <b/>
      <sz val="16"/>
      <color theme="1"/>
      <name val="Century Gothic"/>
      <family val="2"/>
    </font>
    <font>
      <b/>
      <sz val="18"/>
      <color rgb="FFFF0000"/>
      <name val="Calibri"/>
      <family val="2"/>
    </font>
    <font>
      <sz val="16"/>
      <color theme="1"/>
      <name val="Calibri"/>
      <family val="2"/>
      <scheme val="minor"/>
    </font>
    <font>
      <b/>
      <sz val="16"/>
      <color theme="1"/>
      <name val="Calibri"/>
      <family val="2"/>
      <scheme val="minor"/>
    </font>
    <font>
      <b/>
      <sz val="10"/>
      <color theme="1"/>
      <name val="Candara"/>
      <family val="2"/>
    </font>
    <font>
      <sz val="11"/>
      <color theme="1"/>
      <name val="Candara"/>
      <family val="2"/>
    </font>
    <font>
      <b/>
      <sz val="14"/>
      <color theme="1"/>
      <name val="Candara"/>
      <family val="2"/>
    </font>
    <font>
      <sz val="12"/>
      <color theme="1"/>
      <name val="Candara"/>
      <family val="2"/>
    </font>
    <font>
      <b/>
      <sz val="11"/>
      <color theme="1"/>
      <name val="Candara"/>
      <family val="2"/>
    </font>
    <font>
      <sz val="10"/>
      <color theme="1"/>
      <name val="Candara"/>
      <family val="2"/>
    </font>
    <font>
      <b/>
      <sz val="9"/>
      <color rgb="FFFFFFFF"/>
      <name val="Candara"/>
      <family val="2"/>
    </font>
    <font>
      <sz val="9"/>
      <color theme="1"/>
      <name val="Candara"/>
      <family val="2"/>
    </font>
    <font>
      <b/>
      <sz val="9"/>
      <color theme="1"/>
      <name val="Candara"/>
      <family val="2"/>
    </font>
    <font>
      <sz val="10"/>
      <name val="Candara"/>
      <family val="2"/>
    </font>
    <font>
      <sz val="11"/>
      <color rgb="FFFF0000"/>
      <name val="Candara"/>
      <family val="2"/>
    </font>
    <font>
      <b/>
      <sz val="10"/>
      <color rgb="FFFF0000"/>
      <name val="Candara"/>
      <family val="2"/>
    </font>
    <font>
      <sz val="10"/>
      <color rgb="FFFF0000"/>
      <name val="Candara"/>
      <family val="2"/>
    </font>
    <font>
      <b/>
      <sz val="11"/>
      <color theme="0"/>
      <name val="Candara"/>
      <family val="2"/>
    </font>
    <font>
      <sz val="9"/>
      <color theme="0"/>
      <name val="Candara"/>
      <family val="2"/>
    </font>
    <font>
      <b/>
      <sz val="10"/>
      <color theme="0"/>
      <name val="Candara"/>
      <family val="2"/>
    </font>
    <font>
      <sz val="10"/>
      <color theme="0"/>
      <name val="Candara"/>
      <family val="2"/>
    </font>
    <font>
      <sz val="10"/>
      <color theme="1"/>
      <name val="Calibri"/>
      <family val="2"/>
      <scheme val="minor"/>
    </font>
    <font>
      <b/>
      <sz val="8"/>
      <color indexed="8"/>
      <name val="Calibri"/>
      <family val="2"/>
      <scheme val="minor"/>
    </font>
    <font>
      <i/>
      <sz val="10"/>
      <color theme="1"/>
      <name val="Candara"/>
      <family val="2"/>
    </font>
    <font>
      <b/>
      <i/>
      <sz val="10"/>
      <color theme="1"/>
      <name val="Candara"/>
      <family val="2"/>
    </font>
    <font>
      <i/>
      <sz val="11"/>
      <color theme="1"/>
      <name val="Candara"/>
      <family val="2"/>
    </font>
    <font>
      <i/>
      <sz val="10"/>
      <color theme="1"/>
      <name val="Calibri"/>
      <family val="2"/>
    </font>
    <font>
      <b/>
      <sz val="12"/>
      <color theme="1"/>
      <name val="Calibri"/>
      <family val="2"/>
      <scheme val="minor"/>
    </font>
    <font>
      <b/>
      <sz val="8"/>
      <color rgb="FFFF0000"/>
      <name val="Calibri"/>
      <family val="2"/>
      <scheme val="minor"/>
    </font>
    <font>
      <b/>
      <sz val="8"/>
      <color rgb="FFFFFF00"/>
      <name val="Calibri"/>
      <family val="2"/>
      <scheme val="minor"/>
    </font>
    <font>
      <sz val="16"/>
      <color rgb="FFFF0000"/>
      <name val="Calibri"/>
      <family val="2"/>
      <scheme val="minor"/>
    </font>
    <font>
      <b/>
      <i/>
      <sz val="10"/>
      <color theme="0"/>
      <name val="Century Gothic"/>
      <family val="2"/>
    </font>
    <font>
      <b/>
      <i/>
      <sz val="18"/>
      <color theme="0"/>
      <name val="Calibri"/>
      <family val="2"/>
    </font>
    <font>
      <sz val="10"/>
      <color theme="1"/>
      <name val="Calibri"/>
      <family val="2"/>
    </font>
    <font>
      <b/>
      <sz val="9"/>
      <color rgb="FFFFFFFF"/>
      <name val="Calibri"/>
      <family val="2"/>
    </font>
    <font>
      <sz val="9"/>
      <color theme="1"/>
      <name val="Calibri"/>
      <family val="2"/>
    </font>
    <font>
      <b/>
      <sz val="9"/>
      <color theme="1"/>
      <name val="Calibri"/>
      <family val="2"/>
    </font>
    <font>
      <sz val="8"/>
      <color theme="1"/>
      <name val="Calibri"/>
      <family val="2"/>
    </font>
    <font>
      <b/>
      <sz val="8"/>
      <color theme="1"/>
      <name val="Calibri"/>
      <family val="2"/>
    </font>
    <font>
      <sz val="11"/>
      <color rgb="FFFF0000"/>
      <name val="Calibri"/>
      <family val="2"/>
    </font>
    <font>
      <b/>
      <sz val="10"/>
      <name val="Calibri"/>
      <family val="2"/>
    </font>
    <font>
      <sz val="10"/>
      <name val="Calibri"/>
      <family val="2"/>
    </font>
    <font>
      <b/>
      <sz val="10"/>
      <color rgb="FFFF0000"/>
      <name val="Calibri"/>
      <family val="2"/>
    </font>
    <font>
      <sz val="10"/>
      <color rgb="FFFF0000"/>
      <name val="Calibri"/>
      <family val="2"/>
    </font>
    <font>
      <b/>
      <sz val="8"/>
      <color indexed="8"/>
      <name val="Calibri"/>
      <family val="2"/>
    </font>
    <font>
      <sz val="9"/>
      <color rgb="FFFF0000"/>
      <name val="Calibri"/>
      <family val="2"/>
    </font>
    <font>
      <b/>
      <sz val="11"/>
      <color theme="0"/>
      <name val="Calibri"/>
      <family val="2"/>
    </font>
    <font>
      <sz val="9"/>
      <color theme="0"/>
      <name val="Calibri"/>
      <family val="2"/>
    </font>
    <font>
      <b/>
      <i/>
      <sz val="10"/>
      <color theme="1"/>
      <name val="Calibri"/>
      <family val="2"/>
    </font>
    <font>
      <i/>
      <sz val="11"/>
      <color theme="1"/>
      <name val="Calibri"/>
      <family val="2"/>
    </font>
    <font>
      <b/>
      <sz val="11"/>
      <color rgb="FFFF0000"/>
      <name val="Calibri"/>
      <family val="2"/>
    </font>
    <font>
      <sz val="11"/>
      <name val="Calibri"/>
      <family val="2"/>
    </font>
    <font>
      <sz val="14"/>
      <color theme="1"/>
      <name val="Calibri"/>
      <family val="2"/>
    </font>
    <font>
      <b/>
      <sz val="14"/>
      <color theme="1"/>
      <name val="Calibri"/>
      <family val="2"/>
    </font>
    <font>
      <sz val="16"/>
      <color theme="1"/>
      <name val="Calibri"/>
      <family val="2"/>
    </font>
    <font>
      <sz val="12"/>
      <color theme="1"/>
      <name val="Calibri"/>
      <family val="2"/>
    </font>
    <font>
      <b/>
      <sz val="16"/>
      <color theme="1"/>
      <name val="Calibri"/>
      <family val="2"/>
    </font>
    <font>
      <i/>
      <sz val="20"/>
      <color theme="1"/>
      <name val="Calibri"/>
      <family val="2"/>
    </font>
    <font>
      <sz val="20"/>
      <color theme="1"/>
      <name val="Calibri"/>
      <family val="2"/>
    </font>
    <font>
      <b/>
      <sz val="16"/>
      <color rgb="FFFF0000"/>
      <name val="Calibri"/>
      <family val="2"/>
    </font>
    <font>
      <sz val="16"/>
      <color rgb="FFFF0000"/>
      <name val="Calibri"/>
      <family val="2"/>
    </font>
    <font>
      <b/>
      <i/>
      <sz val="10"/>
      <color theme="0"/>
      <name val="Calibri"/>
      <family val="2"/>
    </font>
    <font>
      <b/>
      <sz val="12"/>
      <color theme="1"/>
      <name val="Calibri"/>
      <family val="2"/>
    </font>
    <font>
      <b/>
      <i/>
      <sz val="10"/>
      <color rgb="FFFF0000"/>
      <name val="Candara"/>
      <family val="2"/>
    </font>
    <font>
      <b/>
      <i/>
      <sz val="10"/>
      <color rgb="FFFF0000"/>
      <name val="Calibri"/>
      <family val="2"/>
    </font>
    <font>
      <sz val="11"/>
      <name val="Candara"/>
      <family val="2"/>
    </font>
    <font>
      <b/>
      <sz val="11"/>
      <color rgb="FFFF0000"/>
      <name val="Candara"/>
      <family val="2"/>
    </font>
    <font>
      <sz val="11"/>
      <color rgb="FFC00000"/>
      <name val="Candara"/>
      <family val="2"/>
    </font>
    <font>
      <b/>
      <i/>
      <sz val="16"/>
      <color rgb="FFFF0000"/>
      <name val="Calibri"/>
      <family val="2"/>
    </font>
    <font>
      <b/>
      <sz val="11"/>
      <name val="Calibri"/>
      <family val="2"/>
    </font>
    <font>
      <sz val="8"/>
      <name val="Calibri"/>
      <family val="2"/>
    </font>
    <font>
      <sz val="12"/>
      <color rgb="FFFF0000"/>
      <name val="Calibri"/>
      <family val="2"/>
    </font>
    <font>
      <sz val="12"/>
      <color theme="7" tint="-0.499984740745262"/>
      <name val="Arial"/>
      <family val="2"/>
    </font>
    <font>
      <b/>
      <sz val="12"/>
      <color rgb="FFFF0000"/>
      <name val="Calibri"/>
      <family val="2"/>
    </font>
    <font>
      <sz val="8"/>
      <color theme="1"/>
      <name val="Candara"/>
      <family val="2"/>
    </font>
    <font>
      <sz val="11"/>
      <color theme="0"/>
      <name val="Candara"/>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F6F6"/>
        <bgColor indexed="64"/>
      </patternFill>
    </fill>
    <fill>
      <patternFill patternType="solid">
        <fgColor rgb="FFFBFBFB"/>
        <bgColor indexed="64"/>
      </patternFill>
    </fill>
    <fill>
      <patternFill patternType="solid">
        <fgColor rgb="FFFFFCE7"/>
        <bgColor indexed="64"/>
      </patternFill>
    </fill>
    <fill>
      <patternFill patternType="solid">
        <fgColor rgb="FFFFFFFF"/>
        <bgColor indexed="64"/>
      </patternFill>
    </fill>
    <fill>
      <patternFill patternType="solid">
        <fgColor theme="0"/>
        <bgColor indexed="64"/>
      </patternFill>
    </fill>
    <fill>
      <patternFill patternType="solid">
        <fgColor rgb="FFF9E9D7"/>
        <bgColor indexed="64"/>
      </patternFill>
    </fill>
    <fill>
      <patternFill patternType="solid">
        <fgColor rgb="FFEEEEEE"/>
        <bgColor indexed="64"/>
      </patternFill>
    </fill>
    <fill>
      <patternFill patternType="solid">
        <fgColor theme="2"/>
        <bgColor indexed="64"/>
      </patternFill>
    </fill>
    <fill>
      <patternFill patternType="solid">
        <fgColor theme="0" tint="-4.9989318521683403E-2"/>
        <bgColor indexed="64"/>
      </patternFill>
    </fill>
    <fill>
      <patternFill patternType="solid">
        <fgColor rgb="FFDB4C2C"/>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rgb="FFFFC000"/>
        <bgColor indexed="64"/>
      </patternFill>
    </fill>
    <fill>
      <patternFill patternType="solid">
        <fgColor theme="3"/>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EEEEEE"/>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theme="2"/>
      </left>
      <right style="medium">
        <color theme="2"/>
      </right>
      <top style="medium">
        <color theme="2"/>
      </top>
      <bottom style="medium">
        <color theme="2"/>
      </bottom>
      <diagonal/>
    </border>
    <border>
      <left/>
      <right style="thin">
        <color theme="2"/>
      </right>
      <top style="thin">
        <color theme="2"/>
      </top>
      <bottom style="thin">
        <color theme="2"/>
      </bottom>
      <diagonal/>
    </border>
    <border>
      <left style="medium">
        <color theme="2"/>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auto="1"/>
      </bottom>
      <diagonal/>
    </border>
    <border>
      <left/>
      <right style="thin">
        <color indexed="64"/>
      </right>
      <top style="hair">
        <color indexed="64"/>
      </top>
      <bottom/>
      <diagonal/>
    </border>
    <border>
      <left style="thin">
        <color indexed="64"/>
      </left>
      <right style="thin">
        <color indexed="64"/>
      </right>
      <top style="thin">
        <color auto="1"/>
      </top>
      <bottom style="thin">
        <color theme="1"/>
      </bottom>
      <diagonal/>
    </border>
    <border>
      <left style="thin">
        <color indexed="64"/>
      </left>
      <right/>
      <top style="thin">
        <color auto="1"/>
      </top>
      <bottom style="thin">
        <color theme="1"/>
      </bottom>
      <diagonal/>
    </border>
    <border>
      <left/>
      <right/>
      <top style="thin">
        <color auto="1"/>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thin">
        <color indexed="64"/>
      </left>
      <right style="hair">
        <color indexed="64"/>
      </right>
      <top/>
      <bottom style="thin">
        <color theme="1"/>
      </bottom>
      <diagonal/>
    </border>
    <border>
      <left style="thin">
        <color indexed="64"/>
      </left>
      <right style="thin">
        <color indexed="64"/>
      </right>
      <top/>
      <bottom style="thin">
        <color theme="1"/>
      </bottom>
      <diagonal/>
    </border>
    <border>
      <left style="hair">
        <color indexed="64"/>
      </left>
      <right style="thin">
        <color indexed="64"/>
      </right>
      <top style="hair">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hair">
        <color indexed="64"/>
      </right>
      <top style="thin">
        <color theme="1"/>
      </top>
      <bottom style="thin">
        <color theme="1"/>
      </bottom>
      <diagonal/>
    </border>
    <border>
      <left style="hair">
        <color indexed="64"/>
      </left>
      <right style="thin">
        <color indexed="64"/>
      </right>
      <top style="thin">
        <color theme="1"/>
      </top>
      <bottom style="thin">
        <color theme="1"/>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auto="1"/>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theme="1"/>
      </bottom>
      <diagonal/>
    </border>
    <border>
      <left style="thin">
        <color indexed="64"/>
      </left>
      <right/>
      <top/>
      <bottom style="thin">
        <color theme="1"/>
      </bottom>
      <diagonal/>
    </border>
    <border>
      <left style="thin">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theme="1"/>
      </bottom>
      <diagonal/>
    </border>
    <border>
      <left/>
      <right style="thin">
        <color indexed="64"/>
      </right>
      <top/>
      <bottom style="thin">
        <color theme="1"/>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auto="1"/>
      </top>
      <bottom style="thin">
        <color theme="1"/>
      </bottom>
      <diagonal/>
    </border>
  </borders>
  <cellStyleXfs count="4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7">
    <xf numFmtId="0" fontId="0" fillId="0" borderId="0" xfId="0"/>
    <xf numFmtId="164" fontId="0" fillId="0" borderId="0" xfId="0" applyNumberFormat="1"/>
    <xf numFmtId="164" fontId="0" fillId="0" borderId="0" xfId="1" applyFont="1"/>
    <xf numFmtId="0" fontId="0" fillId="37" borderId="0" xfId="0" applyFill="1"/>
    <xf numFmtId="0" fontId="0" fillId="0" borderId="0" xfId="0" applyAlignment="1">
      <alignment horizontal="center"/>
    </xf>
    <xf numFmtId="0" fontId="0" fillId="0" borderId="0" xfId="0" applyAlignment="1">
      <alignment wrapText="1"/>
    </xf>
    <xf numFmtId="0" fontId="22" fillId="0" borderId="0" xfId="0" applyFont="1" applyAlignment="1">
      <alignment horizontal="center" vertical="center"/>
    </xf>
    <xf numFmtId="0" fontId="23" fillId="0" borderId="0" xfId="0" applyFont="1"/>
    <xf numFmtId="0" fontId="20" fillId="0" borderId="11" xfId="0" applyFont="1" applyBorder="1"/>
    <xf numFmtId="4" fontId="24" fillId="0" borderId="0" xfId="0" applyNumberFormat="1" applyFont="1" applyAlignment="1">
      <alignment horizontal="right"/>
    </xf>
    <xf numFmtId="4" fontId="25" fillId="0" borderId="0" xfId="0" applyNumberFormat="1" applyFont="1"/>
    <xf numFmtId="4" fontId="26" fillId="0" borderId="0" xfId="0" applyNumberFormat="1" applyFont="1"/>
    <xf numFmtId="4" fontId="27" fillId="0" borderId="0" xfId="0" applyNumberFormat="1" applyFont="1"/>
    <xf numFmtId="4" fontId="28" fillId="0" borderId="0" xfId="0" applyNumberFormat="1" applyFont="1"/>
    <xf numFmtId="0" fontId="29" fillId="0" borderId="0" xfId="0" applyFont="1"/>
    <xf numFmtId="4" fontId="30" fillId="0" borderId="0" xfId="0" applyNumberFormat="1" applyFont="1"/>
    <xf numFmtId="0" fontId="25" fillId="0" borderId="0" xfId="0" applyFont="1"/>
    <xf numFmtId="0" fontId="26" fillId="0" borderId="0" xfId="0" applyFont="1" applyAlignment="1">
      <alignment horizontal="center"/>
    </xf>
    <xf numFmtId="0" fontId="26" fillId="0" borderId="0" xfId="0" applyFont="1"/>
    <xf numFmtId="4" fontId="26" fillId="0" borderId="0" xfId="0" quotePrefix="1" applyNumberFormat="1" applyFont="1"/>
    <xf numFmtId="164" fontId="0" fillId="0" borderId="0" xfId="1" applyFont="1" applyAlignment="1">
      <alignment horizontal="center"/>
    </xf>
    <xf numFmtId="164" fontId="16" fillId="0" borderId="15" xfId="0" applyNumberFormat="1" applyFont="1" applyBorder="1" applyAlignment="1">
      <alignment horizontal="center"/>
    </xf>
    <xf numFmtId="0" fontId="32" fillId="0" borderId="0" xfId="0" applyFont="1" applyAlignment="1">
      <alignment horizontal="left"/>
    </xf>
    <xf numFmtId="0" fontId="31" fillId="0" borderId="0" xfId="0" applyFont="1" applyAlignment="1">
      <alignment wrapText="1"/>
    </xf>
    <xf numFmtId="0" fontId="35" fillId="0" borderId="0" xfId="0" applyFont="1"/>
    <xf numFmtId="0" fontId="36" fillId="0" borderId="0" xfId="0" applyFont="1"/>
    <xf numFmtId="0" fontId="37" fillId="0" borderId="0" xfId="0" applyFont="1" applyAlignment="1">
      <alignment horizontal="center"/>
    </xf>
    <xf numFmtId="0" fontId="38" fillId="0" borderId="0" xfId="0" applyFont="1" applyAlignment="1">
      <alignment horizontal="right"/>
    </xf>
    <xf numFmtId="14" fontId="39" fillId="0" borderId="0" xfId="0" applyNumberFormat="1" applyFont="1"/>
    <xf numFmtId="0" fontId="39" fillId="0" borderId="0" xfId="0" applyFont="1"/>
    <xf numFmtId="4" fontId="39" fillId="0" borderId="0" xfId="0" applyNumberFormat="1" applyFont="1"/>
    <xf numFmtId="14" fontId="35" fillId="0" borderId="0" xfId="0" applyNumberFormat="1" applyFont="1"/>
    <xf numFmtId="4" fontId="35" fillId="0" borderId="0" xfId="0" applyNumberFormat="1" applyFont="1"/>
    <xf numFmtId="164" fontId="34" fillId="0" borderId="0" xfId="1" applyFont="1"/>
    <xf numFmtId="164" fontId="33" fillId="0" borderId="0" xfId="1" applyFont="1"/>
    <xf numFmtId="164" fontId="40" fillId="0" borderId="0" xfId="1" applyFont="1"/>
    <xf numFmtId="0" fontId="41" fillId="0" borderId="0" xfId="0" applyFont="1"/>
    <xf numFmtId="0" fontId="42" fillId="0" borderId="0" xfId="0" applyFont="1" applyAlignment="1">
      <alignment horizontal="center" vertical="center"/>
    </xf>
    <xf numFmtId="164" fontId="41" fillId="0" borderId="0" xfId="0" applyNumberFormat="1" applyFont="1"/>
    <xf numFmtId="4" fontId="41" fillId="0" borderId="0" xfId="0" applyNumberFormat="1" applyFont="1"/>
    <xf numFmtId="4" fontId="42" fillId="0" borderId="0" xfId="0" applyNumberFormat="1" applyFont="1"/>
    <xf numFmtId="0" fontId="44" fillId="0" borderId="0" xfId="0" applyFont="1"/>
    <xf numFmtId="0" fontId="48" fillId="0" borderId="0" xfId="0" applyFont="1"/>
    <xf numFmtId="0" fontId="50" fillId="0" borderId="0" xfId="0" applyFont="1"/>
    <xf numFmtId="0" fontId="44" fillId="41" borderId="0" xfId="0" applyFont="1" applyFill="1"/>
    <xf numFmtId="0" fontId="44" fillId="37" borderId="0" xfId="0" applyFont="1" applyFill="1"/>
    <xf numFmtId="164" fontId="44" fillId="0" borderId="0" xfId="0" applyNumberFormat="1" applyFont="1"/>
    <xf numFmtId="0" fontId="44" fillId="33" borderId="0" xfId="0" applyFont="1" applyFill="1"/>
    <xf numFmtId="0" fontId="44" fillId="39" borderId="0" xfId="0" applyFont="1" applyFill="1" applyAlignment="1">
      <alignment vertical="center"/>
    </xf>
    <xf numFmtId="164" fontId="44" fillId="0" borderId="0" xfId="1" applyFont="1"/>
    <xf numFmtId="0" fontId="47" fillId="0" borderId="0" xfId="0" applyFont="1"/>
    <xf numFmtId="164" fontId="47" fillId="0" borderId="0" xfId="0" applyNumberFormat="1" applyFont="1"/>
    <xf numFmtId="0" fontId="53" fillId="0" borderId="0" xfId="0" applyFont="1"/>
    <xf numFmtId="0" fontId="44" fillId="40" borderId="0" xfId="0" applyFont="1" applyFill="1"/>
    <xf numFmtId="0" fontId="44" fillId="0" borderId="0" xfId="0" applyFont="1" applyAlignment="1">
      <alignment vertical="top"/>
    </xf>
    <xf numFmtId="0" fontId="50" fillId="41" borderId="0" xfId="0" applyFont="1" applyFill="1"/>
    <xf numFmtId="0" fontId="50" fillId="33" borderId="0" xfId="0" applyFont="1" applyFill="1"/>
    <xf numFmtId="0" fontId="43" fillId="37" borderId="0" xfId="0" applyFont="1" applyFill="1" applyAlignment="1">
      <alignment vertical="top" wrapText="1" indent="2"/>
    </xf>
    <xf numFmtId="164" fontId="48" fillId="0" borderId="0" xfId="1" applyFont="1" applyBorder="1" applyAlignment="1">
      <alignment horizontal="right" vertical="top" wrapText="1" indent="1"/>
    </xf>
    <xf numFmtId="164" fontId="48" fillId="0" borderId="10" xfId="1" applyFont="1" applyBorder="1" applyAlignment="1">
      <alignment horizontal="right" vertical="top" wrapText="1" indent="1"/>
    </xf>
    <xf numFmtId="164" fontId="48" fillId="0" borderId="0" xfId="1" applyFont="1" applyAlignment="1">
      <alignment vertical="top"/>
    </xf>
    <xf numFmtId="164" fontId="48" fillId="0" borderId="0" xfId="0" applyNumberFormat="1" applyFont="1"/>
    <xf numFmtId="164" fontId="43" fillId="36" borderId="0" xfId="1" applyFont="1" applyFill="1" applyAlignment="1">
      <alignment horizontal="left" vertical="center" wrapText="1" indent="1"/>
    </xf>
    <xf numFmtId="0" fontId="50" fillId="0" borderId="0" xfId="0" applyFont="1" applyAlignment="1">
      <alignment vertical="center"/>
    </xf>
    <xf numFmtId="0" fontId="44" fillId="41" borderId="0" xfId="0" applyFont="1" applyFill="1" applyAlignment="1">
      <alignment vertical="center"/>
    </xf>
    <xf numFmtId="0" fontId="44" fillId="0" borderId="0" xfId="0" applyFont="1" applyAlignment="1">
      <alignment vertical="center"/>
    </xf>
    <xf numFmtId="164" fontId="44" fillId="0" borderId="0" xfId="0" applyNumberFormat="1" applyFont="1" applyAlignment="1">
      <alignment vertical="center"/>
    </xf>
    <xf numFmtId="164" fontId="41" fillId="0" borderId="14" xfId="0" applyNumberFormat="1" applyFont="1" applyBorder="1"/>
    <xf numFmtId="164" fontId="53" fillId="0" borderId="0" xfId="1" applyFont="1"/>
    <xf numFmtId="164" fontId="42" fillId="0" borderId="0" xfId="1" applyFont="1"/>
    <xf numFmtId="0" fontId="18" fillId="0" borderId="0" xfId="0" applyFont="1" applyAlignment="1">
      <alignment vertical="center"/>
    </xf>
    <xf numFmtId="164" fontId="43" fillId="0" borderId="19" xfId="1" applyFont="1" applyFill="1" applyBorder="1" applyAlignment="1">
      <alignment vertical="top" wrapText="1" indent="2"/>
    </xf>
    <xf numFmtId="164" fontId="48" fillId="0" borderId="19" xfId="1" applyFont="1" applyFill="1" applyBorder="1" applyAlignment="1">
      <alignment horizontal="right" vertical="top" wrapText="1" indent="1"/>
    </xf>
    <xf numFmtId="164" fontId="43" fillId="41" borderId="19" xfId="1" applyFont="1" applyFill="1" applyBorder="1" applyAlignment="1">
      <alignment horizontal="right" vertical="center" wrapText="1" indent="1"/>
    </xf>
    <xf numFmtId="164" fontId="43" fillId="34" borderId="17" xfId="1" applyFont="1" applyFill="1" applyBorder="1" applyAlignment="1">
      <alignment vertical="top" wrapText="1" indent="1"/>
    </xf>
    <xf numFmtId="164" fontId="43" fillId="0" borderId="17" xfId="1" applyFont="1" applyBorder="1" applyAlignment="1">
      <alignment vertical="top" wrapText="1" indent="2"/>
    </xf>
    <xf numFmtId="164" fontId="48" fillId="0" borderId="17" xfId="1" applyFont="1" applyBorder="1" applyAlignment="1">
      <alignment horizontal="right" vertical="top" wrapText="1" indent="1"/>
    </xf>
    <xf numFmtId="164" fontId="43" fillId="34" borderId="19" xfId="1" applyFont="1" applyFill="1" applyBorder="1" applyAlignment="1">
      <alignment vertical="top" wrapText="1" indent="1"/>
    </xf>
    <xf numFmtId="164" fontId="43" fillId="0" borderId="19" xfId="1" applyFont="1" applyBorder="1" applyAlignment="1">
      <alignment vertical="top" wrapText="1" indent="2"/>
    </xf>
    <xf numFmtId="164" fontId="48" fillId="0" borderId="19" xfId="1" applyFont="1" applyBorder="1" applyAlignment="1">
      <alignment horizontal="right" vertical="top" wrapText="1" indent="1"/>
    </xf>
    <xf numFmtId="164" fontId="48" fillId="0" borderId="19" xfId="1" applyFont="1" applyBorder="1" applyAlignment="1">
      <alignment vertical="top" wrapText="1" indent="2"/>
    </xf>
    <xf numFmtId="164" fontId="43" fillId="34" borderId="19" xfId="1" applyFont="1" applyFill="1" applyBorder="1" applyAlignment="1">
      <alignment vertical="top" wrapText="1" indent="2"/>
    </xf>
    <xf numFmtId="164" fontId="60" fillId="0" borderId="19" xfId="1" applyFont="1" applyBorder="1" applyAlignment="1">
      <alignment horizontal="right" vertical="top" wrapText="1" indent="1"/>
    </xf>
    <xf numFmtId="164" fontId="60" fillId="0" borderId="19" xfId="1" applyFont="1" applyBorder="1" applyAlignment="1">
      <alignment vertical="top" wrapText="1" indent="2"/>
    </xf>
    <xf numFmtId="164" fontId="44" fillId="37" borderId="0" xfId="1" applyFont="1" applyFill="1"/>
    <xf numFmtId="164" fontId="43" fillId="0" borderId="20" xfId="1" applyFont="1" applyFill="1" applyBorder="1" applyAlignment="1">
      <alignment vertical="top" wrapText="1" indent="1"/>
    </xf>
    <xf numFmtId="164" fontId="48" fillId="0" borderId="21" xfId="1" applyFont="1" applyFill="1" applyBorder="1" applyAlignment="1">
      <alignment horizontal="right" vertical="top" wrapText="1" indent="1"/>
    </xf>
    <xf numFmtId="164" fontId="43" fillId="0" borderId="24" xfId="1" applyFont="1" applyFill="1" applyBorder="1" applyAlignment="1">
      <alignment vertical="top" wrapText="1" indent="2"/>
    </xf>
    <xf numFmtId="164" fontId="48" fillId="0" borderId="24" xfId="1" applyFont="1" applyFill="1" applyBorder="1" applyAlignment="1">
      <alignment horizontal="right" vertical="top" wrapText="1" indent="1"/>
    </xf>
    <xf numFmtId="164" fontId="48" fillId="0" borderId="24" xfId="1" applyFont="1" applyFill="1" applyBorder="1" applyAlignment="1">
      <alignment vertical="top" wrapText="1" indent="2"/>
    </xf>
    <xf numFmtId="0" fontId="43" fillId="0" borderId="24" xfId="0" applyFont="1" applyBorder="1" applyAlignment="1">
      <alignment vertical="top" wrapText="1" indent="2"/>
    </xf>
    <xf numFmtId="0" fontId="48" fillId="0" borderId="24" xfId="0" applyFont="1" applyBorder="1" applyAlignment="1">
      <alignment horizontal="center" vertical="top" wrapText="1"/>
    </xf>
    <xf numFmtId="164" fontId="43" fillId="41" borderId="24" xfId="1" applyFont="1" applyFill="1" applyBorder="1" applyAlignment="1">
      <alignment horizontal="right" vertical="center" wrapText="1" indent="1"/>
    </xf>
    <xf numFmtId="0" fontId="43" fillId="0" borderId="26" xfId="0" applyFont="1" applyBorder="1" applyAlignment="1">
      <alignment vertical="top" wrapText="1" indent="1"/>
    </xf>
    <xf numFmtId="164" fontId="43" fillId="0" borderId="26" xfId="1" applyFont="1" applyFill="1" applyBorder="1" applyAlignment="1">
      <alignment vertical="top" wrapText="1" indent="1"/>
    </xf>
    <xf numFmtId="0" fontId="51" fillId="38" borderId="11" xfId="0" applyFont="1" applyFill="1" applyBorder="1" applyAlignment="1">
      <alignment horizontal="center" vertical="center" wrapText="1"/>
    </xf>
    <xf numFmtId="0" fontId="18" fillId="40" borderId="11" xfId="0" applyFont="1" applyFill="1" applyBorder="1" applyAlignment="1">
      <alignment horizontal="center" vertical="center" wrapText="1"/>
    </xf>
    <xf numFmtId="0" fontId="48" fillId="0" borderId="27" xfId="0" applyFont="1" applyBorder="1" applyAlignment="1">
      <alignment horizontal="center" vertical="top" wrapText="1"/>
    </xf>
    <xf numFmtId="164" fontId="48" fillId="0" borderId="27" xfId="1" applyFont="1" applyFill="1" applyBorder="1" applyAlignment="1">
      <alignment horizontal="right" vertical="top" wrapText="1" indent="1"/>
    </xf>
    <xf numFmtId="0" fontId="43" fillId="41" borderId="11" xfId="0" applyFont="1" applyFill="1" applyBorder="1" applyAlignment="1">
      <alignment vertical="top" wrapText="1" indent="1"/>
    </xf>
    <xf numFmtId="0" fontId="48" fillId="41" borderId="11" xfId="0" applyFont="1" applyFill="1" applyBorder="1" applyAlignment="1">
      <alignment horizontal="right" vertical="top" wrapText="1" indent="1"/>
    </xf>
    <xf numFmtId="164" fontId="43" fillId="41" borderId="11" xfId="1" applyFont="1" applyFill="1" applyBorder="1" applyAlignment="1">
      <alignment horizontal="right" vertical="top" wrapText="1" indent="1"/>
    </xf>
    <xf numFmtId="0" fontId="43" fillId="40" borderId="11" xfId="0" applyFont="1" applyFill="1" applyBorder="1" applyAlignment="1">
      <alignment horizontal="left" vertical="center" wrapText="1" indent="1"/>
    </xf>
    <xf numFmtId="164" fontId="43" fillId="40" borderId="11" xfId="1" applyFont="1" applyFill="1" applyBorder="1" applyAlignment="1">
      <alignment horizontal="right" vertical="center" wrapText="1" indent="1"/>
    </xf>
    <xf numFmtId="0" fontId="43" fillId="34" borderId="31" xfId="0" applyFont="1" applyFill="1" applyBorder="1" applyAlignment="1">
      <alignment vertical="top" wrapText="1" indent="1"/>
    </xf>
    <xf numFmtId="164" fontId="43" fillId="34" borderId="32" xfId="1" applyFont="1" applyFill="1" applyBorder="1" applyAlignment="1">
      <alignment vertical="top" wrapText="1" indent="1"/>
    </xf>
    <xf numFmtId="0" fontId="43" fillId="0" borderId="31" xfId="0" applyFont="1" applyBorder="1" applyAlignment="1">
      <alignment vertical="top" wrapText="1" indent="2"/>
    </xf>
    <xf numFmtId="164" fontId="43" fillId="0" borderId="32" xfId="1" applyFont="1" applyBorder="1" applyAlignment="1">
      <alignment vertical="top" wrapText="1" indent="2"/>
    </xf>
    <xf numFmtId="0" fontId="48" fillId="0" borderId="31" xfId="0" applyFont="1" applyBorder="1" applyAlignment="1">
      <alignment vertical="top" wrapText="1" indent="4"/>
    </xf>
    <xf numFmtId="164" fontId="48" fillId="0" borderId="32" xfId="1" applyFont="1" applyBorder="1" applyAlignment="1">
      <alignment horizontal="right" vertical="top" wrapText="1" indent="1"/>
    </xf>
    <xf numFmtId="0" fontId="48" fillId="0" borderId="31" xfId="0" applyFont="1" applyBorder="1" applyAlignment="1">
      <alignment horizontal="left" vertical="top" wrapText="1" indent="5"/>
    </xf>
    <xf numFmtId="0" fontId="48" fillId="0" borderId="31" xfId="0" applyFont="1" applyBorder="1" applyAlignment="1">
      <alignment horizontal="left" vertical="top" wrapText="1" indent="4"/>
    </xf>
    <xf numFmtId="0" fontId="48" fillId="0" borderId="31" xfId="0" applyFont="1" applyBorder="1" applyAlignment="1">
      <alignment horizontal="left" vertical="top" wrapText="1" indent="3"/>
    </xf>
    <xf numFmtId="164" fontId="48" fillId="0" borderId="32" xfId="1" applyFont="1" applyBorder="1" applyAlignment="1">
      <alignment vertical="top" wrapText="1" indent="2"/>
    </xf>
    <xf numFmtId="0" fontId="43" fillId="34" borderId="31" xfId="0" applyFont="1" applyFill="1" applyBorder="1" applyAlignment="1">
      <alignment vertical="top" wrapText="1" indent="2"/>
    </xf>
    <xf numFmtId="164" fontId="43" fillId="34" borderId="32" xfId="1" applyFont="1" applyFill="1" applyBorder="1" applyAlignment="1">
      <alignment vertical="top" wrapText="1" indent="2"/>
    </xf>
    <xf numFmtId="0" fontId="43" fillId="41" borderId="31" xfId="0" applyFont="1" applyFill="1" applyBorder="1" applyAlignment="1">
      <alignment horizontal="left" vertical="center" wrapText="1" indent="2"/>
    </xf>
    <xf numFmtId="164" fontId="43" fillId="41" borderId="32" xfId="1" applyFont="1" applyFill="1" applyBorder="1" applyAlignment="1">
      <alignment horizontal="right" vertical="center" wrapText="1" indent="1"/>
    </xf>
    <xf numFmtId="164" fontId="48" fillId="37" borderId="32" xfId="1" applyFont="1" applyFill="1" applyBorder="1" applyAlignment="1">
      <alignment horizontal="right" vertical="top" wrapText="1" indent="1"/>
    </xf>
    <xf numFmtId="0" fontId="43" fillId="0" borderId="24" xfId="0" applyFont="1" applyBorder="1" applyAlignment="1">
      <alignment horizontal="center" vertical="top" wrapText="1"/>
    </xf>
    <xf numFmtId="0" fontId="48" fillId="0" borderId="24" xfId="0" quotePrefix="1" applyFont="1" applyBorder="1" applyAlignment="1">
      <alignment horizontal="center" vertical="top" wrapText="1"/>
    </xf>
    <xf numFmtId="0" fontId="48" fillId="41" borderId="24" xfId="0" applyFont="1" applyFill="1" applyBorder="1" applyAlignment="1">
      <alignment horizontal="center" vertical="top" wrapText="1"/>
    </xf>
    <xf numFmtId="0" fontId="43" fillId="34" borderId="24" xfId="0" applyFont="1" applyFill="1" applyBorder="1" applyAlignment="1">
      <alignment horizontal="center" vertical="top" wrapText="1"/>
    </xf>
    <xf numFmtId="164" fontId="43" fillId="34" borderId="24" xfId="1" applyFont="1" applyFill="1" applyBorder="1" applyAlignment="1">
      <alignment vertical="top" wrapText="1" indent="1"/>
    </xf>
    <xf numFmtId="164" fontId="43" fillId="0" borderId="24" xfId="1" applyFont="1" applyBorder="1" applyAlignment="1">
      <alignment vertical="top" wrapText="1" indent="2"/>
    </xf>
    <xf numFmtId="164" fontId="48" fillId="0" borderId="24" xfId="1" applyFont="1" applyBorder="1" applyAlignment="1">
      <alignment horizontal="right" vertical="top" wrapText="1" indent="1"/>
    </xf>
    <xf numFmtId="164" fontId="48" fillId="0" borderId="24" xfId="1" applyFont="1" applyBorder="1" applyAlignment="1">
      <alignment vertical="top" wrapText="1" indent="2"/>
    </xf>
    <xf numFmtId="164" fontId="43" fillId="34" borderId="24" xfId="1" applyFont="1" applyFill="1" applyBorder="1" applyAlignment="1">
      <alignment vertical="top" wrapText="1" indent="2"/>
    </xf>
    <xf numFmtId="164" fontId="60" fillId="0" borderId="24" xfId="1" applyFont="1" applyBorder="1" applyAlignment="1">
      <alignment horizontal="right" vertical="top" wrapText="1" indent="1"/>
    </xf>
    <xf numFmtId="164" fontId="60" fillId="0" borderId="24" xfId="1" applyFont="1" applyBorder="1" applyAlignment="1">
      <alignment vertical="top" wrapText="1" indent="2"/>
    </xf>
    <xf numFmtId="164" fontId="48" fillId="37" borderId="24" xfId="1" applyFont="1" applyFill="1" applyBorder="1" applyAlignment="1">
      <alignment horizontal="right" vertical="top" wrapText="1" indent="1"/>
    </xf>
    <xf numFmtId="0" fontId="43" fillId="34" borderId="33" xfId="0" applyFont="1" applyFill="1" applyBorder="1" applyAlignment="1">
      <alignment vertical="top" wrapText="1" indent="1"/>
    </xf>
    <xf numFmtId="0" fontId="43" fillId="34" borderId="26" xfId="0" applyFont="1" applyFill="1" applyBorder="1" applyAlignment="1">
      <alignment vertical="top" wrapText="1" indent="1"/>
    </xf>
    <xf numFmtId="164" fontId="43" fillId="34" borderId="22" xfId="1" applyFont="1" applyFill="1" applyBorder="1" applyAlignment="1">
      <alignment vertical="top" wrapText="1" indent="1"/>
    </xf>
    <xf numFmtId="164" fontId="43" fillId="34" borderId="26" xfId="1" applyFont="1" applyFill="1" applyBorder="1" applyAlignment="1">
      <alignment vertical="top" wrapText="1" indent="1"/>
    </xf>
    <xf numFmtId="164" fontId="43" fillId="34" borderId="34" xfId="1" applyFont="1" applyFill="1" applyBorder="1" applyAlignment="1">
      <alignment vertical="top" wrapText="1" indent="1"/>
    </xf>
    <xf numFmtId="0" fontId="56" fillId="43" borderId="11" xfId="0" applyFont="1" applyFill="1" applyBorder="1" applyAlignment="1">
      <alignment horizontal="center" wrapText="1"/>
    </xf>
    <xf numFmtId="0" fontId="57" fillId="43" borderId="11" xfId="0" applyFont="1" applyFill="1" applyBorder="1" applyAlignment="1">
      <alignment horizontal="center" wrapText="1"/>
    </xf>
    <xf numFmtId="0" fontId="48" fillId="0" borderId="35" xfId="0" applyFont="1" applyBorder="1" applyAlignment="1">
      <alignment vertical="top" wrapText="1" indent="4"/>
    </xf>
    <xf numFmtId="164" fontId="48" fillId="0" borderId="21" xfId="1" applyFont="1" applyBorder="1" applyAlignment="1">
      <alignment horizontal="right" vertical="top" wrapText="1" indent="1"/>
    </xf>
    <xf numFmtId="164" fontId="48" fillId="0" borderId="27" xfId="1" applyFont="1" applyBorder="1" applyAlignment="1">
      <alignment horizontal="right" vertical="top" wrapText="1" indent="1"/>
    </xf>
    <xf numFmtId="164" fontId="48" fillId="0" borderId="36" xfId="1" applyFont="1" applyBorder="1" applyAlignment="1">
      <alignment horizontal="right" vertical="top" wrapText="1" indent="1"/>
    </xf>
    <xf numFmtId="0" fontId="43" fillId="0" borderId="33" xfId="0" applyFont="1" applyBorder="1" applyAlignment="1">
      <alignment vertical="top" wrapText="1" indent="2"/>
    </xf>
    <xf numFmtId="0" fontId="48" fillId="0" borderId="26" xfId="0" applyFont="1" applyBorder="1" applyAlignment="1">
      <alignment horizontal="center" vertical="top" wrapText="1"/>
    </xf>
    <xf numFmtId="164" fontId="48" fillId="0" borderId="22" xfId="1" applyFont="1" applyBorder="1" applyAlignment="1">
      <alignment horizontal="right" vertical="top" wrapText="1" indent="1"/>
    </xf>
    <xf numFmtId="164" fontId="48" fillId="0" borderId="26" xfId="1" applyFont="1" applyBorder="1" applyAlignment="1">
      <alignment horizontal="right" vertical="top" wrapText="1" indent="1"/>
    </xf>
    <xf numFmtId="164" fontId="43" fillId="0" borderId="34" xfId="1" applyFont="1" applyBorder="1" applyAlignment="1">
      <alignment horizontal="right" vertical="top" wrapText="1" indent="1"/>
    </xf>
    <xf numFmtId="0" fontId="43" fillId="41" borderId="11" xfId="0" applyFont="1" applyFill="1" applyBorder="1" applyAlignment="1">
      <alignment vertical="top" wrapText="1" indent="2"/>
    </xf>
    <xf numFmtId="0" fontId="48" fillId="41" borderId="11" xfId="0" applyFont="1" applyFill="1" applyBorder="1" applyAlignment="1">
      <alignment horizontal="center" vertical="top" wrapText="1"/>
    </xf>
    <xf numFmtId="0" fontId="48" fillId="0" borderId="35" xfId="0" applyFont="1" applyBorder="1" applyAlignment="1">
      <alignment horizontal="left" vertical="top" wrapText="1" indent="5"/>
    </xf>
    <xf numFmtId="0" fontId="43" fillId="34" borderId="26" xfId="0" applyFont="1" applyFill="1" applyBorder="1" applyAlignment="1">
      <alignment horizontal="center" vertical="top" wrapText="1"/>
    </xf>
    <xf numFmtId="0" fontId="43" fillId="40" borderId="11" xfId="0" applyFont="1" applyFill="1" applyBorder="1" applyAlignment="1">
      <alignment horizontal="left" vertical="top" wrapText="1" indent="1"/>
    </xf>
    <xf numFmtId="0" fontId="48" fillId="40" borderId="11" xfId="0" applyFont="1" applyFill="1" applyBorder="1" applyAlignment="1">
      <alignment horizontal="center" vertical="top" wrapText="1"/>
    </xf>
    <xf numFmtId="164" fontId="43" fillId="40" borderId="11" xfId="1" applyFont="1" applyFill="1" applyBorder="1" applyAlignment="1">
      <alignment horizontal="right" vertical="top" wrapText="1" indent="1"/>
    </xf>
    <xf numFmtId="0" fontId="48" fillId="0" borderId="35" xfId="0" applyFont="1" applyBorder="1" applyAlignment="1">
      <alignment horizontal="left" vertical="top" wrapText="1" indent="4"/>
    </xf>
    <xf numFmtId="0" fontId="43" fillId="34" borderId="33" xfId="0" applyFont="1" applyFill="1" applyBorder="1" applyAlignment="1">
      <alignment horizontal="left" vertical="top" wrapText="1" indent="1"/>
    </xf>
    <xf numFmtId="0" fontId="48" fillId="34" borderId="26" xfId="0" applyFont="1" applyFill="1" applyBorder="1" applyAlignment="1">
      <alignment horizontal="center" vertical="top" wrapText="1"/>
    </xf>
    <xf numFmtId="164" fontId="48" fillId="34" borderId="22" xfId="1" applyFont="1" applyFill="1" applyBorder="1" applyAlignment="1">
      <alignment horizontal="right" vertical="top" wrapText="1" indent="1"/>
    </xf>
    <xf numFmtId="164" fontId="48" fillId="34" borderId="26" xfId="1" applyFont="1" applyFill="1" applyBorder="1" applyAlignment="1">
      <alignment horizontal="right" vertical="top" wrapText="1" indent="1"/>
    </xf>
    <xf numFmtId="164" fontId="43" fillId="34" borderId="34" xfId="1" applyFont="1" applyFill="1" applyBorder="1" applyAlignment="1">
      <alignment horizontal="right" vertical="top" wrapText="1" indent="1"/>
    </xf>
    <xf numFmtId="0" fontId="48" fillId="0" borderId="35" xfId="0" applyFont="1" applyBorder="1" applyAlignment="1">
      <alignment horizontal="left" vertical="top" wrapText="1" indent="3"/>
    </xf>
    <xf numFmtId="164" fontId="48" fillId="0" borderId="21" xfId="1" applyFont="1" applyBorder="1" applyAlignment="1">
      <alignment vertical="top" wrapText="1" indent="2"/>
    </xf>
    <xf numFmtId="164" fontId="48" fillId="0" borderId="27" xfId="1" applyFont="1" applyBorder="1" applyAlignment="1">
      <alignment vertical="top" wrapText="1" indent="2"/>
    </xf>
    <xf numFmtId="164" fontId="48" fillId="0" borderId="36" xfId="1" applyFont="1" applyBorder="1" applyAlignment="1">
      <alignment vertical="top" wrapText="1" indent="2"/>
    </xf>
    <xf numFmtId="0" fontId="43" fillId="0" borderId="26" xfId="0" applyFont="1" applyBorder="1" applyAlignment="1">
      <alignment horizontal="center" vertical="top" wrapText="1"/>
    </xf>
    <xf numFmtId="164" fontId="43" fillId="0" borderId="22" xfId="1" applyFont="1" applyBorder="1" applyAlignment="1">
      <alignment vertical="top" wrapText="1" indent="2"/>
    </xf>
    <xf numFmtId="164" fontId="43" fillId="0" borderId="26" xfId="1" applyFont="1" applyBorder="1" applyAlignment="1">
      <alignment vertical="top" wrapText="1" indent="2"/>
    </xf>
    <xf numFmtId="164" fontId="43" fillId="0" borderId="34" xfId="1" applyFont="1" applyBorder="1" applyAlignment="1">
      <alignment vertical="top" wrapText="1" indent="2"/>
    </xf>
    <xf numFmtId="0" fontId="48" fillId="0" borderId="35" xfId="0" applyFont="1" applyBorder="1" applyAlignment="1">
      <alignment vertical="top" wrapText="1" indent="2"/>
    </xf>
    <xf numFmtId="0" fontId="43" fillId="0" borderId="27" xfId="0" applyFont="1" applyBorder="1" applyAlignment="1">
      <alignment horizontal="center" vertical="top" wrapText="1"/>
    </xf>
    <xf numFmtId="164" fontId="43" fillId="0" borderId="21" xfId="1" applyFont="1" applyBorder="1" applyAlignment="1">
      <alignment vertical="top" wrapText="1" indent="2"/>
    </xf>
    <xf numFmtId="164" fontId="43" fillId="0" borderId="27" xfId="1" applyFont="1" applyBorder="1" applyAlignment="1">
      <alignment vertical="top" wrapText="1" indent="2"/>
    </xf>
    <xf numFmtId="164" fontId="43" fillId="0" borderId="36" xfId="1" applyFont="1" applyBorder="1" applyAlignment="1">
      <alignment vertical="top" wrapText="1" indent="2"/>
    </xf>
    <xf numFmtId="164" fontId="48" fillId="40" borderId="11" xfId="1" applyFont="1" applyFill="1" applyBorder="1" applyAlignment="1">
      <alignment horizontal="right" vertical="top" wrapText="1" indent="1"/>
    </xf>
    <xf numFmtId="0" fontId="58" fillId="43" borderId="11" xfId="0" applyFont="1" applyFill="1" applyBorder="1" applyAlignment="1">
      <alignment horizontal="center" vertical="center" wrapText="1"/>
    </xf>
    <xf numFmtId="0" fontId="59" fillId="43" borderId="11" xfId="0" applyFont="1" applyFill="1" applyBorder="1" applyAlignment="1">
      <alignment horizontal="center" vertical="center" wrapText="1"/>
    </xf>
    <xf numFmtId="164" fontId="58" fillId="43" borderId="11" xfId="1" applyFont="1" applyFill="1" applyBorder="1" applyAlignment="1">
      <alignment horizontal="right" vertical="center" wrapText="1" indent="1"/>
    </xf>
    <xf numFmtId="164" fontId="60" fillId="0" borderId="21" xfId="1" applyFont="1" applyBorder="1" applyAlignment="1">
      <alignment horizontal="right" vertical="top" wrapText="1" indent="1"/>
    </xf>
    <xf numFmtId="164" fontId="60" fillId="0" borderId="27" xfId="1" applyFont="1" applyBorder="1" applyAlignment="1">
      <alignment horizontal="right" vertical="top" wrapText="1" indent="1"/>
    </xf>
    <xf numFmtId="0" fontId="43" fillId="41" borderId="11" xfId="0" applyFont="1" applyFill="1" applyBorder="1" applyAlignment="1">
      <alignment horizontal="left" vertical="top" wrapText="1" indent="2"/>
    </xf>
    <xf numFmtId="0" fontId="59" fillId="43" borderId="11" xfId="0" applyFont="1" applyFill="1" applyBorder="1" applyAlignment="1">
      <alignment horizontal="left" wrapText="1" indent="1"/>
    </xf>
    <xf numFmtId="164" fontId="58" fillId="43" borderId="11" xfId="1" applyFont="1" applyFill="1" applyBorder="1" applyAlignment="1">
      <alignment horizontal="left" vertical="center" wrapText="1" indent="1"/>
    </xf>
    <xf numFmtId="0" fontId="48" fillId="0" borderId="11" xfId="0" applyFont="1" applyBorder="1" applyAlignment="1">
      <alignment vertical="top" wrapText="1" indent="4"/>
    </xf>
    <xf numFmtId="0" fontId="48" fillId="0" borderId="11" xfId="0" applyFont="1" applyBorder="1" applyAlignment="1">
      <alignment horizontal="center" vertical="top" wrapText="1"/>
    </xf>
    <xf numFmtId="164" fontId="48" fillId="0" borderId="11" xfId="1" applyFont="1" applyBorder="1" applyAlignment="1">
      <alignment horizontal="right" vertical="top" wrapText="1" indent="1"/>
    </xf>
    <xf numFmtId="164" fontId="43" fillId="0" borderId="32" xfId="1" applyFont="1" applyFill="1" applyBorder="1" applyAlignment="1">
      <alignment vertical="top" wrapText="1" indent="2"/>
    </xf>
    <xf numFmtId="164" fontId="48" fillId="0" borderId="32" xfId="1" applyFont="1" applyFill="1" applyBorder="1" applyAlignment="1">
      <alignment horizontal="right" vertical="top" wrapText="1" indent="1"/>
    </xf>
    <xf numFmtId="0" fontId="43" fillId="0" borderId="33" xfId="0" applyFont="1" applyBorder="1" applyAlignment="1">
      <alignment vertical="top" wrapText="1" indent="1"/>
    </xf>
    <xf numFmtId="164" fontId="43" fillId="0" borderId="22" xfId="1" applyFont="1" applyFill="1" applyBorder="1" applyAlignment="1">
      <alignment vertical="top" wrapText="1" indent="1"/>
    </xf>
    <xf numFmtId="164" fontId="43" fillId="0" borderId="34" xfId="1" applyFont="1" applyFill="1" applyBorder="1" applyAlignment="1">
      <alignment vertical="top" wrapText="1" indent="1"/>
    </xf>
    <xf numFmtId="164" fontId="48" fillId="0" borderId="36" xfId="1" applyFont="1" applyFill="1" applyBorder="1" applyAlignment="1">
      <alignment horizontal="right" vertical="top" wrapText="1" indent="1"/>
    </xf>
    <xf numFmtId="0" fontId="48" fillId="41" borderId="11" xfId="0" applyFont="1" applyFill="1" applyBorder="1" applyAlignment="1">
      <alignment vertical="top" wrapText="1" indent="1"/>
    </xf>
    <xf numFmtId="164" fontId="48" fillId="0" borderId="32" xfId="1" applyFont="1" applyFill="1" applyBorder="1" applyAlignment="1">
      <alignment vertical="top" wrapText="1" indent="2"/>
    </xf>
    <xf numFmtId="0" fontId="48" fillId="40" borderId="11" xfId="0" applyFont="1" applyFill="1" applyBorder="1" applyAlignment="1">
      <alignment horizontal="left" wrapText="1" indent="1"/>
    </xf>
    <xf numFmtId="0" fontId="43" fillId="0" borderId="37" xfId="0" applyFont="1" applyBorder="1" applyAlignment="1">
      <alignment vertical="top" wrapText="1" indent="1"/>
    </xf>
    <xf numFmtId="0" fontId="43" fillId="0" borderId="12" xfId="0" applyFont="1" applyBorder="1" applyAlignment="1">
      <alignment vertical="top" wrapText="1" indent="1"/>
    </xf>
    <xf numFmtId="164" fontId="43" fillId="0" borderId="12" xfId="1" applyFont="1" applyFill="1" applyBorder="1" applyAlignment="1">
      <alignment vertical="top" wrapText="1" indent="1"/>
    </xf>
    <xf numFmtId="164" fontId="43" fillId="0" borderId="38" xfId="1" applyFont="1" applyFill="1" applyBorder="1" applyAlignment="1">
      <alignment vertical="top" wrapText="1" indent="1"/>
    </xf>
    <xf numFmtId="0" fontId="48" fillId="0" borderId="12" xfId="0" applyFont="1" applyBorder="1" applyAlignment="1">
      <alignment horizontal="center" vertical="top" wrapText="1"/>
    </xf>
    <xf numFmtId="164" fontId="48" fillId="0" borderId="12" xfId="1" applyFont="1" applyBorder="1" applyAlignment="1">
      <alignment horizontal="right" vertical="top" wrapText="1" indent="1"/>
    </xf>
    <xf numFmtId="164" fontId="48" fillId="0" borderId="13" xfId="1" applyFont="1" applyBorder="1" applyAlignment="1">
      <alignment horizontal="right" vertical="top" wrapText="1" indent="1"/>
    </xf>
    <xf numFmtId="0" fontId="48" fillId="0" borderId="39" xfId="0" applyFont="1" applyBorder="1" applyAlignment="1">
      <alignment horizontal="left" vertical="top" wrapText="1" indent="5"/>
    </xf>
    <xf numFmtId="0" fontId="48" fillId="0" borderId="40" xfId="0" applyFont="1" applyBorder="1" applyAlignment="1">
      <alignment horizontal="left" vertical="top" wrapText="1" indent="5"/>
    </xf>
    <xf numFmtId="164" fontId="48" fillId="0" borderId="41" xfId="1" applyFont="1" applyBorder="1" applyAlignment="1">
      <alignment horizontal="right" vertical="top" wrapText="1" indent="1"/>
    </xf>
    <xf numFmtId="164" fontId="48" fillId="0" borderId="42" xfId="1" applyFont="1" applyBorder="1" applyAlignment="1">
      <alignment horizontal="right" vertical="top" wrapText="1" indent="1"/>
    </xf>
    <xf numFmtId="0" fontId="48" fillId="0" borderId="43" xfId="0" applyFont="1" applyBorder="1" applyAlignment="1">
      <alignment horizontal="left" vertical="top" wrapText="1" indent="5"/>
    </xf>
    <xf numFmtId="164" fontId="48" fillId="0" borderId="44" xfId="1" applyFont="1" applyBorder="1" applyAlignment="1">
      <alignment horizontal="right" vertical="top" wrapText="1" indent="1"/>
    </xf>
    <xf numFmtId="164" fontId="48" fillId="0" borderId="45" xfId="1" applyFont="1" applyBorder="1" applyAlignment="1">
      <alignment horizontal="right" vertical="top" wrapText="1" indent="1"/>
    </xf>
    <xf numFmtId="0" fontId="48" fillId="0" borderId="43" xfId="0" applyFont="1" applyBorder="1" applyAlignment="1">
      <alignment horizontal="left" vertical="top" wrapText="1" indent="4"/>
    </xf>
    <xf numFmtId="0" fontId="48" fillId="0" borderId="40" xfId="0" applyFont="1" applyBorder="1" applyAlignment="1">
      <alignment horizontal="left" vertical="top" wrapText="1" indent="4"/>
    </xf>
    <xf numFmtId="0" fontId="48" fillId="0" borderId="39" xfId="0" applyFont="1" applyBorder="1" applyAlignment="1">
      <alignment horizontal="left" vertical="top" wrapText="1" indent="4"/>
    </xf>
    <xf numFmtId="0" fontId="61" fillId="0" borderId="0" xfId="0" applyFont="1" applyAlignment="1">
      <alignment horizontal="right" vertical="center"/>
    </xf>
    <xf numFmtId="164" fontId="43" fillId="37" borderId="32" xfId="1" applyFont="1" applyFill="1" applyBorder="1" applyAlignment="1">
      <alignment vertical="top" wrapText="1" indent="2"/>
    </xf>
    <xf numFmtId="164" fontId="48" fillId="37" borderId="36" xfId="1" applyFont="1" applyFill="1" applyBorder="1" applyAlignment="1">
      <alignment horizontal="right" vertical="top" wrapText="1" indent="1"/>
    </xf>
    <xf numFmtId="0" fontId="62" fillId="0" borderId="31" xfId="0" applyFont="1" applyBorder="1" applyAlignment="1">
      <alignment horizontal="left" vertical="top" wrapText="1" indent="4"/>
    </xf>
    <xf numFmtId="0" fontId="63" fillId="0" borderId="24" xfId="0" applyFont="1" applyBorder="1" applyAlignment="1">
      <alignment horizontal="center" vertical="top" wrapText="1"/>
    </xf>
    <xf numFmtId="164" fontId="63" fillId="0" borderId="19" xfId="1" applyFont="1" applyBorder="1" applyAlignment="1">
      <alignment vertical="top" wrapText="1" indent="2"/>
    </xf>
    <xf numFmtId="164" fontId="63" fillId="0" borderId="24" xfId="1" applyFont="1" applyBorder="1" applyAlignment="1">
      <alignment vertical="top" wrapText="1" indent="2"/>
    </xf>
    <xf numFmtId="164" fontId="62" fillId="0" borderId="32" xfId="1" applyFont="1" applyBorder="1" applyAlignment="1">
      <alignment horizontal="right" vertical="top" wrapText="1" indent="1"/>
    </xf>
    <xf numFmtId="164" fontId="63" fillId="0" borderId="0" xfId="1" applyFont="1" applyBorder="1" applyAlignment="1">
      <alignment vertical="top" wrapText="1" indent="2"/>
    </xf>
    <xf numFmtId="0" fontId="64" fillId="0" borderId="0" xfId="0" applyFont="1"/>
    <xf numFmtId="0" fontId="62" fillId="0" borderId="31" xfId="0" applyFont="1" applyBorder="1" applyAlignment="1">
      <alignment vertical="top" wrapText="1" indent="4"/>
    </xf>
    <xf numFmtId="0" fontId="62" fillId="0" borderId="24" xfId="0" applyFont="1" applyBorder="1" applyAlignment="1">
      <alignment horizontal="center" vertical="top" wrapText="1"/>
    </xf>
    <xf numFmtId="164" fontId="62" fillId="0" borderId="19" xfId="1" applyFont="1" applyBorder="1" applyAlignment="1">
      <alignment horizontal="right" vertical="top" wrapText="1" indent="1"/>
    </xf>
    <xf numFmtId="164" fontId="62" fillId="0" borderId="24" xfId="1" applyFont="1" applyBorder="1" applyAlignment="1">
      <alignment horizontal="right" vertical="top" wrapText="1" indent="1"/>
    </xf>
    <xf numFmtId="0" fontId="64" fillId="0" borderId="0" xfId="0" applyFont="1" applyAlignment="1">
      <alignment vertical="top"/>
    </xf>
    <xf numFmtId="164" fontId="64" fillId="0" borderId="0" xfId="0" applyNumberFormat="1" applyFont="1"/>
    <xf numFmtId="0" fontId="43" fillId="0" borderId="35" xfId="0" applyFont="1" applyBorder="1" applyAlignment="1">
      <alignment horizontal="left" vertical="top" wrapText="1" indent="4"/>
    </xf>
    <xf numFmtId="0" fontId="62" fillId="0" borderId="35" xfId="0" applyFont="1" applyBorder="1" applyAlignment="1">
      <alignment horizontal="left" vertical="top" wrapText="1" indent="4"/>
    </xf>
    <xf numFmtId="0" fontId="63" fillId="0" borderId="27" xfId="0" applyFont="1" applyBorder="1" applyAlignment="1">
      <alignment horizontal="center" vertical="top" wrapText="1"/>
    </xf>
    <xf numFmtId="164" fontId="63" fillId="0" borderId="21" xfId="1" applyFont="1" applyBorder="1" applyAlignment="1">
      <alignment vertical="top" wrapText="1" indent="2"/>
    </xf>
    <xf numFmtId="164" fontId="63" fillId="0" borderId="27" xfId="1" applyFont="1" applyBorder="1" applyAlignment="1">
      <alignment vertical="top" wrapText="1" indent="2"/>
    </xf>
    <xf numFmtId="164" fontId="62" fillId="0" borderId="36" xfId="1" applyFont="1" applyBorder="1" applyAlignment="1">
      <alignment horizontal="right" vertical="top" wrapText="1" indent="1"/>
    </xf>
    <xf numFmtId="164" fontId="65" fillId="0" borderId="0" xfId="1" applyFont="1" applyAlignment="1">
      <alignment horizontal="right" vertical="top"/>
    </xf>
    <xf numFmtId="0" fontId="48" fillId="0" borderId="24" xfId="0" applyFont="1" applyBorder="1" applyAlignment="1">
      <alignment vertical="top" wrapText="1" indent="4"/>
    </xf>
    <xf numFmtId="164" fontId="48" fillId="0" borderId="41" xfId="1" applyFont="1" applyFill="1" applyBorder="1" applyAlignment="1">
      <alignment horizontal="right" vertical="top" wrapText="1" indent="1"/>
    </xf>
    <xf numFmtId="164" fontId="43" fillId="37" borderId="34" xfId="1" applyFont="1" applyFill="1" applyBorder="1" applyAlignment="1">
      <alignment horizontal="right" vertical="top" wrapText="1" indent="1"/>
    </xf>
    <xf numFmtId="164" fontId="48" fillId="37" borderId="24" xfId="1" applyFont="1" applyFill="1" applyBorder="1" applyAlignment="1">
      <alignment vertical="top" wrapText="1"/>
    </xf>
    <xf numFmtId="164" fontId="48" fillId="37" borderId="42" xfId="1" applyFont="1" applyFill="1" applyBorder="1" applyAlignment="1">
      <alignment vertical="top" wrapText="1"/>
    </xf>
    <xf numFmtId="164" fontId="48" fillId="37" borderId="42" xfId="1" applyFont="1" applyFill="1" applyBorder="1" applyAlignment="1">
      <alignment horizontal="right" vertical="top" wrapText="1" indent="1"/>
    </xf>
    <xf numFmtId="164" fontId="48" fillId="37" borderId="13" xfId="1" applyFont="1" applyFill="1" applyBorder="1" applyAlignment="1">
      <alignment horizontal="right" vertical="top" wrapText="1" indent="1"/>
    </xf>
    <xf numFmtId="0" fontId="23" fillId="0" borderId="0" xfId="0" applyFont="1" applyAlignment="1">
      <alignment horizontal="center"/>
    </xf>
    <xf numFmtId="0" fontId="66" fillId="0" borderId="0" xfId="0" applyFont="1" applyAlignment="1">
      <alignment wrapText="1"/>
    </xf>
    <xf numFmtId="0" fontId="0" fillId="0" borderId="11" xfId="0" applyBorder="1" applyAlignment="1">
      <alignment wrapText="1"/>
    </xf>
    <xf numFmtId="164" fontId="0" fillId="0" borderId="11" xfId="1" applyFont="1" applyBorder="1" applyAlignment="1">
      <alignment horizontal="center"/>
    </xf>
    <xf numFmtId="164" fontId="0" fillId="0" borderId="11" xfId="1" applyFont="1" applyBorder="1"/>
    <xf numFmtId="0" fontId="0" fillId="0" borderId="11" xfId="0" applyBorder="1" applyAlignment="1">
      <alignment horizontal="center"/>
    </xf>
    <xf numFmtId="0" fontId="16" fillId="0" borderId="11" xfId="0" applyFont="1" applyBorder="1" applyAlignment="1">
      <alignment horizontal="center"/>
    </xf>
    <xf numFmtId="164" fontId="16" fillId="0" borderId="11" xfId="1" applyFont="1" applyBorder="1"/>
    <xf numFmtId="0" fontId="34" fillId="0" borderId="40" xfId="0" applyFont="1" applyBorder="1" applyAlignment="1">
      <alignment horizontal="center" vertical="top"/>
    </xf>
    <xf numFmtId="0" fontId="34" fillId="37" borderId="40" xfId="0" applyFont="1" applyFill="1" applyBorder="1" applyAlignment="1">
      <alignment horizontal="center" vertical="top"/>
    </xf>
    <xf numFmtId="0" fontId="34" fillId="0" borderId="24" xfId="0" applyFont="1" applyBorder="1" applyAlignment="1">
      <alignment vertical="top" wrapText="1"/>
    </xf>
    <xf numFmtId="0" fontId="34" fillId="37" borderId="24" xfId="0" applyFont="1" applyFill="1" applyBorder="1" applyAlignment="1">
      <alignment vertical="top" wrapText="1"/>
    </xf>
    <xf numFmtId="0" fontId="34" fillId="0" borderId="41" xfId="0" applyFont="1" applyBorder="1" applyAlignment="1">
      <alignment horizontal="center" vertical="top"/>
    </xf>
    <xf numFmtId="0" fontId="34" fillId="37" borderId="41" xfId="0" applyFont="1" applyFill="1" applyBorder="1" applyAlignment="1">
      <alignment horizontal="center" vertical="top"/>
    </xf>
    <xf numFmtId="0" fontId="34" fillId="0" borderId="41" xfId="0" applyFont="1" applyBorder="1" applyAlignment="1">
      <alignment horizontal="center" vertical="top" wrapText="1"/>
    </xf>
    <xf numFmtId="164" fontId="34" fillId="0" borderId="24" xfId="1" applyFont="1" applyBorder="1" applyAlignment="1">
      <alignment vertical="top"/>
    </xf>
    <xf numFmtId="164" fontId="34" fillId="37" borderId="24" xfId="1" applyFont="1" applyFill="1" applyBorder="1" applyAlignment="1">
      <alignment vertical="top"/>
    </xf>
    <xf numFmtId="164" fontId="34" fillId="0" borderId="41" xfId="1" applyFont="1" applyBorder="1" applyAlignment="1">
      <alignment vertical="top"/>
    </xf>
    <xf numFmtId="164" fontId="34" fillId="37" borderId="41" xfId="1" applyFont="1" applyFill="1" applyBorder="1" applyAlignment="1">
      <alignment vertical="top"/>
    </xf>
    <xf numFmtId="164" fontId="19" fillId="37" borderId="24" xfId="1" applyFont="1" applyFill="1" applyBorder="1" applyAlignment="1">
      <alignment vertical="top"/>
    </xf>
    <xf numFmtId="0" fontId="34" fillId="0" borderId="43" xfId="0" applyFont="1" applyBorder="1" applyAlignment="1">
      <alignment horizontal="center" vertical="top"/>
    </xf>
    <xf numFmtId="0" fontId="34" fillId="0" borderId="26" xfId="0" applyFont="1" applyBorder="1" applyAlignment="1">
      <alignment vertical="top" wrapText="1"/>
    </xf>
    <xf numFmtId="0" fontId="34" fillId="0" borderId="44" xfId="0" applyFont="1" applyBorder="1" applyAlignment="1">
      <alignment horizontal="center" vertical="top"/>
    </xf>
    <xf numFmtId="164" fontId="34" fillId="0" borderId="26" xfId="1" applyFont="1" applyBorder="1" applyAlignment="1">
      <alignment vertical="top"/>
    </xf>
    <xf numFmtId="164" fontId="34" fillId="0" borderId="44" xfId="1" applyFont="1" applyBorder="1" applyAlignment="1">
      <alignment vertical="top"/>
    </xf>
    <xf numFmtId="164" fontId="19" fillId="37" borderId="26" xfId="1" applyFont="1" applyFill="1" applyBorder="1" applyAlignment="1">
      <alignment vertical="top"/>
    </xf>
    <xf numFmtId="0" fontId="19" fillId="40" borderId="46" xfId="0" applyFont="1" applyFill="1" applyBorder="1" applyAlignment="1">
      <alignment horizontal="center"/>
    </xf>
    <xf numFmtId="0" fontId="19" fillId="40" borderId="11" xfId="0" applyFont="1" applyFill="1" applyBorder="1" applyAlignment="1">
      <alignment horizontal="center" vertical="center" wrapText="1"/>
    </xf>
    <xf numFmtId="0" fontId="19" fillId="40" borderId="47" xfId="0" applyFont="1" applyFill="1" applyBorder="1" applyAlignment="1">
      <alignment horizontal="center" vertical="center"/>
    </xf>
    <xf numFmtId="0" fontId="19" fillId="40" borderId="11" xfId="0" applyFont="1" applyFill="1" applyBorder="1" applyAlignment="1">
      <alignment horizontal="center" vertical="center"/>
    </xf>
    <xf numFmtId="0" fontId="34" fillId="0" borderId="48" xfId="0" applyFont="1" applyBorder="1" applyAlignment="1">
      <alignment horizontal="center" vertical="top"/>
    </xf>
    <xf numFmtId="0" fontId="34" fillId="0" borderId="27" xfId="0" applyFont="1" applyBorder="1" applyAlignment="1">
      <alignment vertical="top" wrapText="1"/>
    </xf>
    <xf numFmtId="0" fontId="34" fillId="0" borderId="49" xfId="0" applyFont="1" applyBorder="1" applyAlignment="1">
      <alignment horizontal="center" vertical="top"/>
    </xf>
    <xf numFmtId="164" fontId="34" fillId="0" borderId="27" xfId="1" applyFont="1" applyBorder="1" applyAlignment="1">
      <alignment vertical="top"/>
    </xf>
    <xf numFmtId="164" fontId="34" fillId="0" borderId="49" xfId="1" applyFont="1" applyBorder="1" applyAlignment="1">
      <alignment vertical="top"/>
    </xf>
    <xf numFmtId="164" fontId="19" fillId="37" borderId="27" xfId="1" applyFont="1" applyFill="1" applyBorder="1" applyAlignment="1">
      <alignment vertical="top"/>
    </xf>
    <xf numFmtId="0" fontId="19" fillId="40" borderId="11" xfId="0" applyFont="1" applyFill="1" applyBorder="1" applyAlignment="1">
      <alignment wrapText="1"/>
    </xf>
    <xf numFmtId="0" fontId="19" fillId="40" borderId="47" xfId="0" applyFont="1" applyFill="1" applyBorder="1" applyAlignment="1">
      <alignment horizontal="center"/>
    </xf>
    <xf numFmtId="0" fontId="44" fillId="0" borderId="0" xfId="0" applyFont="1" applyAlignment="1">
      <alignment horizontal="center"/>
    </xf>
    <xf numFmtId="0" fontId="68" fillId="0" borderId="0" xfId="0" applyFont="1" applyAlignment="1">
      <alignment horizontal="center" vertical="center"/>
    </xf>
    <xf numFmtId="43" fontId="44" fillId="0" borderId="0" xfId="0" applyNumberFormat="1" applyFont="1"/>
    <xf numFmtId="43" fontId="47" fillId="0" borderId="0" xfId="0" applyNumberFormat="1" applyFont="1"/>
    <xf numFmtId="0" fontId="67" fillId="0" borderId="0" xfId="0" applyFont="1" applyAlignment="1">
      <alignment horizontal="center" vertical="center"/>
    </xf>
    <xf numFmtId="164" fontId="53" fillId="0" borderId="0" xfId="0" applyNumberFormat="1" applyFont="1"/>
    <xf numFmtId="43" fontId="48" fillId="0" borderId="0" xfId="0" applyNumberFormat="1" applyFont="1"/>
    <xf numFmtId="43" fontId="48" fillId="0" borderId="24" xfId="0" applyNumberFormat="1" applyFont="1" applyBorder="1"/>
    <xf numFmtId="0" fontId="43" fillId="0" borderId="39" xfId="0" applyFont="1" applyBorder="1" applyAlignment="1">
      <alignment horizontal="left" vertical="top" wrapText="1" indent="5"/>
    </xf>
    <xf numFmtId="0" fontId="48" fillId="0" borderId="39" xfId="0" applyFont="1" applyBorder="1" applyAlignment="1">
      <alignment horizontal="left" vertical="top" indent="5"/>
    </xf>
    <xf numFmtId="0" fontId="20" fillId="0" borderId="24" xfId="0" applyFont="1" applyBorder="1" applyAlignment="1">
      <alignment vertical="top" wrapText="1"/>
    </xf>
    <xf numFmtId="164" fontId="55" fillId="0" borderId="24" xfId="1" applyFont="1" applyBorder="1" applyAlignment="1">
      <alignment horizontal="right" vertical="top" wrapText="1" indent="1"/>
    </xf>
    <xf numFmtId="0" fontId="55" fillId="0" borderId="31" xfId="0" applyFont="1" applyBorder="1" applyAlignment="1">
      <alignment vertical="top" wrapText="1" indent="4"/>
    </xf>
    <xf numFmtId="0" fontId="55" fillId="0" borderId="0" xfId="0" quotePrefix="1" applyFont="1"/>
    <xf numFmtId="164" fontId="55" fillId="0" borderId="32" xfId="1" applyFont="1" applyBorder="1" applyAlignment="1">
      <alignment horizontal="right" vertical="top" wrapText="1" indent="1"/>
    </xf>
    <xf numFmtId="164" fontId="54" fillId="41" borderId="11" xfId="1" applyFont="1" applyFill="1" applyBorder="1" applyAlignment="1">
      <alignment horizontal="right" vertical="top" wrapText="1" indent="1"/>
    </xf>
    <xf numFmtId="0" fontId="52" fillId="0" borderId="31" xfId="0" applyFont="1" applyBorder="1" applyAlignment="1">
      <alignment horizontal="left" vertical="top" wrapText="1" indent="4"/>
    </xf>
    <xf numFmtId="164" fontId="19" fillId="40" borderId="11" xfId="1" applyFont="1" applyFill="1" applyBorder="1"/>
    <xf numFmtId="164" fontId="16" fillId="0" borderId="11" xfId="1" applyFont="1" applyBorder="1" applyAlignment="1">
      <alignment horizontal="center"/>
    </xf>
    <xf numFmtId="164" fontId="16" fillId="0" borderId="0" xfId="1" applyFont="1" applyBorder="1" applyAlignment="1">
      <alignment horizontal="center"/>
    </xf>
    <xf numFmtId="164" fontId="0" fillId="0" borderId="0" xfId="1" applyFont="1" applyAlignment="1">
      <alignment wrapText="1"/>
    </xf>
    <xf numFmtId="0" fontId="53" fillId="0" borderId="0" xfId="0" applyFont="1" applyAlignment="1">
      <alignment vertical="top"/>
    </xf>
    <xf numFmtId="164" fontId="55" fillId="0" borderId="42" xfId="1" applyFont="1" applyBorder="1" applyAlignment="1">
      <alignment horizontal="right" vertical="top" wrapText="1" indent="1"/>
    </xf>
    <xf numFmtId="164" fontId="55" fillId="0" borderId="45" xfId="1" applyFont="1" applyBorder="1" applyAlignment="1">
      <alignment horizontal="right" vertical="top" wrapText="1" indent="1"/>
    </xf>
    <xf numFmtId="9" fontId="44" fillId="0" borderId="0" xfId="0" applyNumberFormat="1" applyFont="1" applyAlignment="1">
      <alignment vertical="top"/>
    </xf>
    <xf numFmtId="164" fontId="41" fillId="0" borderId="0" xfId="1" applyFont="1"/>
    <xf numFmtId="164" fontId="43" fillId="46" borderId="11" xfId="1" applyFont="1" applyFill="1" applyBorder="1" applyAlignment="1">
      <alignment horizontal="right" vertical="top" wrapText="1" indent="1"/>
    </xf>
    <xf numFmtId="164" fontId="16" fillId="0" borderId="15" xfId="1" applyFont="1" applyBorder="1" applyAlignment="1">
      <alignment horizontal="center"/>
    </xf>
    <xf numFmtId="0" fontId="0" fillId="0" borderId="0" xfId="1" applyNumberFormat="1" applyFont="1" applyAlignment="1">
      <alignment horizontal="center"/>
    </xf>
    <xf numFmtId="164" fontId="19" fillId="37" borderId="24" xfId="1" applyFont="1" applyFill="1" applyBorder="1" applyAlignment="1">
      <alignment vertical="center"/>
    </xf>
    <xf numFmtId="4" fontId="69" fillId="0" borderId="0" xfId="0" applyNumberFormat="1" applyFont="1"/>
    <xf numFmtId="43" fontId="0" fillId="0" borderId="0" xfId="0" applyNumberFormat="1"/>
    <xf numFmtId="164" fontId="33" fillId="48" borderId="0" xfId="1" applyFont="1" applyFill="1" applyAlignment="1">
      <alignment horizontal="right"/>
    </xf>
    <xf numFmtId="4" fontId="70" fillId="37" borderId="0" xfId="0" applyNumberFormat="1" applyFont="1" applyFill="1" applyAlignment="1">
      <alignment horizontal="right"/>
    </xf>
    <xf numFmtId="164" fontId="71" fillId="37" borderId="0" xfId="1" applyFont="1" applyFill="1" applyAlignment="1">
      <alignment horizontal="right"/>
    </xf>
    <xf numFmtId="4" fontId="48" fillId="0" borderId="32" xfId="1" applyNumberFormat="1" applyFont="1" applyBorder="1" applyAlignment="1">
      <alignment vertical="top" wrapText="1"/>
    </xf>
    <xf numFmtId="0" fontId="43" fillId="37" borderId="33" xfId="0" applyFont="1" applyFill="1" applyBorder="1" applyAlignment="1">
      <alignment vertical="top" wrapText="1" indent="1"/>
    </xf>
    <xf numFmtId="43" fontId="47" fillId="0" borderId="0" xfId="0" applyNumberFormat="1" applyFont="1" applyAlignment="1">
      <alignment vertical="center"/>
    </xf>
    <xf numFmtId="164" fontId="47" fillId="0" borderId="0" xfId="0" applyNumberFormat="1" applyFont="1" applyAlignment="1">
      <alignment vertical="center"/>
    </xf>
    <xf numFmtId="0" fontId="47" fillId="0" borderId="0" xfId="0" applyFont="1" applyAlignment="1">
      <alignment vertical="center"/>
    </xf>
    <xf numFmtId="0" fontId="58" fillId="43" borderId="11" xfId="0" applyFont="1" applyFill="1" applyBorder="1" applyAlignment="1">
      <alignment horizontal="left" wrapText="1" indent="1"/>
    </xf>
    <xf numFmtId="164" fontId="58" fillId="43" borderId="11" xfId="1" applyFont="1" applyFill="1" applyBorder="1" applyAlignment="1">
      <alignment horizontal="left" wrapText="1" indent="1"/>
    </xf>
    <xf numFmtId="0" fontId="48" fillId="0" borderId="40" xfId="0" applyFont="1" applyBorder="1" applyAlignment="1">
      <alignment horizontal="left" vertical="top" wrapText="1" indent="3"/>
    </xf>
    <xf numFmtId="0" fontId="48" fillId="0" borderId="31" xfId="0" applyFont="1" applyBorder="1" applyAlignment="1">
      <alignment horizontal="left" vertical="top" wrapText="1" indent="2"/>
    </xf>
    <xf numFmtId="0" fontId="48" fillId="0" borderId="35" xfId="0" applyFont="1" applyBorder="1" applyAlignment="1">
      <alignment horizontal="left" vertical="top" wrapText="1" indent="2"/>
    </xf>
    <xf numFmtId="0" fontId="43" fillId="0" borderId="31" xfId="0" applyFont="1" applyBorder="1" applyAlignment="1">
      <alignment horizontal="left" vertical="top" wrapText="1" indent="2"/>
    </xf>
    <xf numFmtId="164" fontId="58" fillId="47" borderId="11" xfId="1" applyFont="1" applyFill="1" applyBorder="1" applyAlignment="1">
      <alignment horizontal="right" vertical="center" wrapText="1" indent="1"/>
    </xf>
    <xf numFmtId="0" fontId="43" fillId="41" borderId="60" xfId="0" applyFont="1" applyFill="1" applyBorder="1" applyAlignment="1">
      <alignment vertical="top" wrapText="1" indent="2"/>
    </xf>
    <xf numFmtId="0" fontId="48" fillId="41" borderId="59" xfId="0" applyFont="1" applyFill="1" applyBorder="1" applyAlignment="1">
      <alignment horizontal="center" vertical="top" wrapText="1"/>
    </xf>
    <xf numFmtId="164" fontId="43" fillId="41" borderId="61" xfId="1" applyFont="1" applyFill="1" applyBorder="1" applyAlignment="1">
      <alignment horizontal="right" vertical="top" wrapText="1" indent="1"/>
    </xf>
    <xf numFmtId="164" fontId="43" fillId="41" borderId="59" xfId="1" applyFont="1" applyFill="1" applyBorder="1" applyAlignment="1">
      <alignment horizontal="right" vertical="top" wrapText="1" indent="1"/>
    </xf>
    <xf numFmtId="0" fontId="43" fillId="41" borderId="65" xfId="0" applyFont="1" applyFill="1" applyBorder="1" applyAlignment="1">
      <alignment horizontal="left" vertical="center" wrapText="1" indent="2"/>
    </xf>
    <xf numFmtId="0" fontId="48" fillId="41" borderId="66" xfId="0" applyFont="1" applyFill="1" applyBorder="1" applyAlignment="1">
      <alignment horizontal="center" vertical="top" wrapText="1"/>
    </xf>
    <xf numFmtId="164" fontId="43" fillId="41" borderId="66" xfId="1" applyFont="1" applyFill="1" applyBorder="1" applyAlignment="1">
      <alignment horizontal="right" vertical="center" wrapText="1" indent="1"/>
    </xf>
    <xf numFmtId="0" fontId="43" fillId="0" borderId="62" xfId="0" applyFont="1" applyBorder="1" applyAlignment="1">
      <alignment horizontal="center" vertical="top" wrapText="1"/>
    </xf>
    <xf numFmtId="164" fontId="48" fillId="0" borderId="64" xfId="1" applyFont="1" applyBorder="1" applyAlignment="1">
      <alignment horizontal="right" vertical="top" wrapText="1" indent="1"/>
    </xf>
    <xf numFmtId="164" fontId="48" fillId="0" borderId="62" xfId="1" applyFont="1" applyFill="1" applyBorder="1" applyAlignment="1">
      <alignment vertical="top" wrapText="1" indent="2"/>
    </xf>
    <xf numFmtId="164" fontId="48" fillId="0" borderId="67" xfId="1" applyFont="1" applyBorder="1" applyAlignment="1">
      <alignment horizontal="right" vertical="top" wrapText="1" indent="1"/>
    </xf>
    <xf numFmtId="0" fontId="43" fillId="41" borderId="54" xfId="0" applyFont="1" applyFill="1" applyBorder="1" applyAlignment="1">
      <alignment horizontal="left" vertical="top" wrapText="1" indent="2"/>
    </xf>
    <xf numFmtId="0" fontId="48" fillId="41" borderId="54" xfId="0" applyFont="1" applyFill="1" applyBorder="1" applyAlignment="1">
      <alignment horizontal="center" vertical="top" wrapText="1"/>
    </xf>
    <xf numFmtId="164" fontId="43" fillId="41" borderId="54" xfId="1" applyFont="1" applyFill="1" applyBorder="1" applyAlignment="1">
      <alignment horizontal="right" vertical="top" wrapText="1" indent="1"/>
    </xf>
    <xf numFmtId="0" fontId="48" fillId="0" borderId="63" xfId="0" applyFont="1" applyBorder="1" applyAlignment="1">
      <alignment horizontal="left" vertical="top" wrapText="1" indent="2"/>
    </xf>
    <xf numFmtId="0" fontId="48" fillId="0" borderId="62" xfId="0" applyFont="1" applyBorder="1" applyAlignment="1">
      <alignment horizontal="center" vertical="top" wrapText="1"/>
    </xf>
    <xf numFmtId="164" fontId="48" fillId="0" borderId="62" xfId="1" applyFont="1" applyBorder="1" applyAlignment="1">
      <alignment horizontal="right" vertical="top" wrapText="1" indent="1"/>
    </xf>
    <xf numFmtId="0" fontId="48" fillId="0" borderId="11" xfId="0" applyFont="1" applyBorder="1" applyAlignment="1">
      <alignment horizontal="left" vertical="top" wrapText="1" indent="2"/>
    </xf>
    <xf numFmtId="4" fontId="30" fillId="37" borderId="0" xfId="0" applyNumberFormat="1" applyFont="1" applyFill="1"/>
    <xf numFmtId="164" fontId="40" fillId="37" borderId="0" xfId="1" applyFont="1" applyFill="1"/>
    <xf numFmtId="0" fontId="43" fillId="0" borderId="31" xfId="0" applyFont="1" applyBorder="1" applyAlignment="1">
      <alignment horizontal="left" vertical="top" wrapText="1" indent="3"/>
    </xf>
    <xf numFmtId="164" fontId="48" fillId="0" borderId="58" xfId="1" applyFont="1" applyBorder="1" applyAlignment="1">
      <alignment horizontal="right" vertical="top" wrapText="1" indent="1"/>
    </xf>
    <xf numFmtId="164" fontId="48" fillId="0" borderId="72" xfId="1" applyFont="1" applyBorder="1" applyAlignment="1">
      <alignment horizontal="right" vertical="top" wrapText="1" indent="1"/>
    </xf>
    <xf numFmtId="164" fontId="48" fillId="0" borderId="25" xfId="1" applyFont="1" applyBorder="1" applyAlignment="1">
      <alignment horizontal="right" vertical="top" wrapText="1" indent="1"/>
    </xf>
    <xf numFmtId="164" fontId="48" fillId="0" borderId="64" xfId="1" applyFont="1" applyBorder="1" applyAlignment="1">
      <alignment vertical="top" wrapText="1" indent="2"/>
    </xf>
    <xf numFmtId="164" fontId="48" fillId="0" borderId="62" xfId="1" applyFont="1" applyBorder="1" applyAlignment="1">
      <alignment vertical="top" wrapText="1" indent="2"/>
    </xf>
    <xf numFmtId="0" fontId="72" fillId="0" borderId="24" xfId="0" applyFont="1" applyBorder="1" applyAlignment="1">
      <alignment horizontal="center" vertical="top" wrapText="1"/>
    </xf>
    <xf numFmtId="0" fontId="72" fillId="0" borderId="0" xfId="0" applyFont="1"/>
    <xf numFmtId="0" fontId="72" fillId="0" borderId="12" xfId="0" applyFont="1" applyBorder="1" applyAlignment="1">
      <alignment horizontal="center" vertical="top" wrapText="1"/>
    </xf>
    <xf numFmtId="0" fontId="72" fillId="0" borderId="0" xfId="0" applyFont="1" applyAlignment="1">
      <alignment wrapText="1"/>
    </xf>
    <xf numFmtId="164" fontId="72" fillId="0" borderId="0" xfId="1" applyFont="1"/>
    <xf numFmtId="0" fontId="74" fillId="0" borderId="0" xfId="0" applyFont="1" applyAlignment="1">
      <alignment horizontal="center"/>
    </xf>
    <xf numFmtId="0" fontId="74" fillId="0" borderId="0" xfId="0" applyFont="1"/>
    <xf numFmtId="0" fontId="75" fillId="38" borderId="11" xfId="0" applyFont="1" applyFill="1" applyBorder="1" applyAlignment="1">
      <alignment horizontal="center" vertical="center" wrapText="1"/>
    </xf>
    <xf numFmtId="0" fontId="76" fillId="40" borderId="11" xfId="0" applyFont="1" applyFill="1" applyBorder="1" applyAlignment="1">
      <alignment horizontal="center" vertical="center" wrapText="1"/>
    </xf>
    <xf numFmtId="0" fontId="76" fillId="0" borderId="0" xfId="0" applyFont="1" applyAlignment="1">
      <alignment vertical="center"/>
    </xf>
    <xf numFmtId="0" fontId="30" fillId="0" borderId="26" xfId="0" applyFont="1" applyBorder="1" applyAlignment="1">
      <alignment vertical="top" wrapText="1" indent="1"/>
    </xf>
    <xf numFmtId="164" fontId="30" fillId="0" borderId="26" xfId="1" applyFont="1" applyFill="1" applyBorder="1" applyAlignment="1">
      <alignment vertical="top" wrapText="1" indent="1"/>
    </xf>
    <xf numFmtId="164" fontId="25" fillId="0" borderId="0" xfId="1" applyFont="1" applyFill="1"/>
    <xf numFmtId="0" fontId="30" fillId="0" borderId="24" xfId="0" applyFont="1" applyBorder="1" applyAlignment="1">
      <alignment vertical="top" wrapText="1" indent="2"/>
    </xf>
    <xf numFmtId="164" fontId="30" fillId="0" borderId="24" xfId="1" applyFont="1" applyFill="1" applyBorder="1" applyAlignment="1">
      <alignment vertical="top" wrapText="1" indent="2"/>
    </xf>
    <xf numFmtId="0" fontId="25" fillId="0" borderId="0" xfId="0" applyFont="1" applyAlignment="1">
      <alignment horizontal="center"/>
    </xf>
    <xf numFmtId="0" fontId="72" fillId="0" borderId="24" xfId="0" applyFont="1" applyBorder="1" applyAlignment="1">
      <alignment horizontal="left" vertical="top" wrapText="1" indent="3"/>
    </xf>
    <xf numFmtId="164" fontId="72" fillId="0" borderId="24" xfId="1" applyFont="1" applyFill="1" applyBorder="1" applyAlignment="1">
      <alignment horizontal="right" vertical="top" wrapText="1" indent="1"/>
    </xf>
    <xf numFmtId="164" fontId="78" fillId="0" borderId="0" xfId="1" applyFont="1" applyFill="1" applyAlignment="1">
      <alignment horizontal="center"/>
    </xf>
    <xf numFmtId="164" fontId="25" fillId="0" borderId="0" xfId="0" applyNumberFormat="1" applyFont="1"/>
    <xf numFmtId="0" fontId="25" fillId="0" borderId="0" xfId="0" applyFont="1" applyAlignment="1">
      <alignment horizontal="center" vertical="top"/>
    </xf>
    <xf numFmtId="0" fontId="72" fillId="0" borderId="31" xfId="0" applyFont="1" applyBorder="1" applyAlignment="1">
      <alignment horizontal="left" vertical="top" wrapText="1" indent="3"/>
    </xf>
    <xf numFmtId="164" fontId="25" fillId="0" borderId="0" xfId="1" applyFont="1" applyFill="1" applyAlignment="1">
      <alignment horizontal="center" vertical="top"/>
    </xf>
    <xf numFmtId="164" fontId="25" fillId="0" borderId="0" xfId="0" applyNumberFormat="1" applyFont="1" applyAlignment="1">
      <alignment horizontal="center"/>
    </xf>
    <xf numFmtId="0" fontId="72" fillId="0" borderId="24" xfId="0" applyFont="1" applyBorder="1" applyAlignment="1">
      <alignment horizontal="left" vertical="top" wrapText="1" indent="4"/>
    </xf>
    <xf numFmtId="164" fontId="72" fillId="0" borderId="24" xfId="0" applyNumberFormat="1" applyFont="1" applyBorder="1" applyAlignment="1">
      <alignment horizontal="center" vertical="top" wrapText="1"/>
    </xf>
    <xf numFmtId="0" fontId="72" fillId="0" borderId="54" xfId="0" applyFont="1" applyBorder="1" applyAlignment="1">
      <alignment horizontal="left" vertical="top" wrapText="1" indent="4"/>
    </xf>
    <xf numFmtId="0" fontId="72" fillId="0" borderId="54" xfId="0" applyFont="1" applyBorder="1" applyAlignment="1">
      <alignment horizontal="center" vertical="top" wrapText="1"/>
    </xf>
    <xf numFmtId="164" fontId="72" fillId="0" borderId="54" xfId="1" applyFont="1" applyFill="1" applyBorder="1" applyAlignment="1">
      <alignment horizontal="right" vertical="top" wrapText="1" indent="1"/>
    </xf>
    <xf numFmtId="164" fontId="72" fillId="0" borderId="26" xfId="1" applyFont="1" applyFill="1" applyBorder="1" applyAlignment="1">
      <alignment horizontal="right" vertical="top" wrapText="1" indent="1"/>
    </xf>
    <xf numFmtId="0" fontId="79" fillId="41" borderId="11" xfId="0" applyFont="1" applyFill="1" applyBorder="1" applyAlignment="1">
      <alignment horizontal="left" vertical="center"/>
    </xf>
    <xf numFmtId="0" fontId="80" fillId="41" borderId="11" xfId="0" applyFont="1" applyFill="1" applyBorder="1" applyAlignment="1">
      <alignment horizontal="right" vertical="center"/>
    </xf>
    <xf numFmtId="164" fontId="79" fillId="41" borderId="11" xfId="1" applyFont="1" applyFill="1" applyBorder="1" applyAlignment="1">
      <alignment horizontal="right" vertical="center"/>
    </xf>
    <xf numFmtId="164" fontId="26" fillId="0" borderId="0" xfId="1" applyFont="1" applyFill="1" applyAlignment="1">
      <alignment horizontal="center"/>
    </xf>
    <xf numFmtId="164" fontId="80" fillId="0" borderId="24" xfId="1" applyFont="1" applyFill="1" applyBorder="1" applyAlignment="1">
      <alignment horizontal="right" vertical="top" wrapText="1" indent="1"/>
    </xf>
    <xf numFmtId="164" fontId="72" fillId="0" borderId="36" xfId="1" applyFont="1" applyFill="1" applyBorder="1" applyAlignment="1">
      <alignment horizontal="right" vertical="top" wrapText="1" indent="1"/>
    </xf>
    <xf numFmtId="0" fontId="30" fillId="0" borderId="24" xfId="0" applyFont="1" applyBorder="1" applyAlignment="1">
      <alignment horizontal="left" vertical="top" wrapText="1" indent="1"/>
    </xf>
    <xf numFmtId="164" fontId="30" fillId="0" borderId="24" xfId="0" applyNumberFormat="1" applyFont="1" applyBorder="1" applyAlignment="1">
      <alignment vertical="top" wrapText="1" indent="2"/>
    </xf>
    <xf numFmtId="164" fontId="81" fillId="0" borderId="24" xfId="1" applyFont="1" applyFill="1" applyBorder="1" applyAlignment="1">
      <alignment vertical="top" wrapText="1" indent="2"/>
    </xf>
    <xf numFmtId="164" fontId="72" fillId="0" borderId="24" xfId="1" applyFont="1" applyFill="1" applyBorder="1" applyAlignment="1">
      <alignment vertical="top" wrapText="1" indent="2"/>
    </xf>
    <xf numFmtId="164" fontId="25" fillId="0" borderId="0" xfId="1" applyFont="1" applyFill="1" applyBorder="1" applyAlignment="1">
      <alignment horizontal="center" vertical="top" wrapText="1"/>
    </xf>
    <xf numFmtId="164" fontId="25" fillId="0" borderId="10" xfId="1" applyFont="1" applyFill="1" applyBorder="1" applyAlignment="1">
      <alignment horizontal="right" vertical="top" wrapText="1" indent="1"/>
    </xf>
    <xf numFmtId="164" fontId="82" fillId="0" borderId="24" xfId="1" applyFont="1" applyFill="1" applyBorder="1" applyAlignment="1">
      <alignment horizontal="right" vertical="top" wrapText="1" indent="1"/>
    </xf>
    <xf numFmtId="0" fontId="25" fillId="0" borderId="0" xfId="0" applyFont="1" applyAlignment="1">
      <alignment horizontal="left"/>
    </xf>
    <xf numFmtId="0" fontId="30" fillId="41" borderId="11" xfId="0" applyFont="1" applyFill="1" applyBorder="1" applyAlignment="1">
      <alignment vertical="top" wrapText="1" indent="1"/>
    </xf>
    <xf numFmtId="0" fontId="72" fillId="41" borderId="11" xfId="0" applyFont="1" applyFill="1" applyBorder="1" applyAlignment="1">
      <alignment horizontal="right" vertical="top" wrapText="1" indent="1"/>
    </xf>
    <xf numFmtId="164" fontId="30" fillId="41" borderId="11" xfId="1" applyFont="1" applyFill="1" applyBorder="1" applyAlignment="1">
      <alignment horizontal="right" vertical="top" wrapText="1" indent="1"/>
    </xf>
    <xf numFmtId="43" fontId="25" fillId="41" borderId="0" xfId="0" applyNumberFormat="1" applyFont="1" applyFill="1"/>
    <xf numFmtId="164" fontId="25" fillId="41" borderId="0" xfId="1" applyFont="1" applyFill="1"/>
    <xf numFmtId="0" fontId="25" fillId="41" borderId="0" xfId="0" applyFont="1" applyFill="1"/>
    <xf numFmtId="164" fontId="25" fillId="0" borderId="0" xfId="1" applyFont="1"/>
    <xf numFmtId="0" fontId="30" fillId="0" borderId="31" xfId="0" applyFont="1" applyBorder="1" applyAlignment="1">
      <alignment vertical="top" wrapText="1" indent="2"/>
    </xf>
    <xf numFmtId="164" fontId="30" fillId="0" borderId="19" xfId="1" applyFont="1" applyFill="1" applyBorder="1" applyAlignment="1">
      <alignment vertical="top" wrapText="1" indent="2"/>
    </xf>
    <xf numFmtId="164" fontId="30" fillId="0" borderId="32" xfId="1" applyFont="1" applyFill="1" applyBorder="1" applyAlignment="1">
      <alignment vertical="top" wrapText="1" indent="2"/>
    </xf>
    <xf numFmtId="164" fontId="72" fillId="0" borderId="19" xfId="1" applyFont="1" applyFill="1" applyBorder="1" applyAlignment="1">
      <alignment horizontal="right" vertical="top" wrapText="1" indent="1"/>
    </xf>
    <xf numFmtId="164" fontId="72" fillId="0" borderId="19" xfId="0" applyNumberFormat="1" applyFont="1" applyBorder="1"/>
    <xf numFmtId="164" fontId="72" fillId="0" borderId="32" xfId="1" applyFont="1" applyFill="1" applyBorder="1" applyAlignment="1">
      <alignment horizontal="right" vertical="top" wrapText="1" indent="1"/>
    </xf>
    <xf numFmtId="0" fontId="78" fillId="0" borderId="0" xfId="0" applyFont="1"/>
    <xf numFmtId="0" fontId="25" fillId="37" borderId="0" xfId="0" applyFont="1" applyFill="1" applyAlignment="1">
      <alignment horizontal="center"/>
    </xf>
    <xf numFmtId="0" fontId="25" fillId="37" borderId="0" xfId="0" applyFont="1" applyFill="1"/>
    <xf numFmtId="164" fontId="25" fillId="37" borderId="0" xfId="1" applyFont="1" applyFill="1"/>
    <xf numFmtId="164" fontId="72" fillId="0" borderId="24" xfId="1" applyFont="1" applyFill="1" applyBorder="1" applyAlignment="1">
      <alignment vertical="top" wrapText="1"/>
    </xf>
    <xf numFmtId="0" fontId="30" fillId="41" borderId="11" xfId="0" applyFont="1" applyFill="1" applyBorder="1" applyAlignment="1">
      <alignment horizontal="left" vertical="center" wrapText="1" indent="1"/>
    </xf>
    <xf numFmtId="0" fontId="72" fillId="41" borderId="11" xfId="0" applyFont="1" applyFill="1" applyBorder="1" applyAlignment="1">
      <alignment vertical="top" wrapText="1"/>
    </xf>
    <xf numFmtId="164" fontId="30" fillId="41" borderId="11" xfId="1" applyFont="1" applyFill="1" applyBorder="1" applyAlignment="1">
      <alignment horizontal="right" vertical="center" wrapText="1" indent="1"/>
    </xf>
    <xf numFmtId="164" fontId="25" fillId="33" borderId="0" xfId="1" applyFont="1" applyFill="1"/>
    <xf numFmtId="0" fontId="25" fillId="33" borderId="0" xfId="0" applyFont="1" applyFill="1"/>
    <xf numFmtId="0" fontId="30" fillId="40" borderId="11" xfId="0" applyFont="1" applyFill="1" applyBorder="1" applyAlignment="1">
      <alignment horizontal="left" vertical="center" wrapText="1" indent="1"/>
    </xf>
    <xf numFmtId="0" fontId="72" fillId="40" borderId="11" xfId="0" applyFont="1" applyFill="1" applyBorder="1" applyAlignment="1">
      <alignment vertical="center" wrapText="1"/>
    </xf>
    <xf numFmtId="164" fontId="30" fillId="40" borderId="11" xfId="1" applyFont="1" applyFill="1" applyBorder="1" applyAlignment="1">
      <alignment horizontal="right" vertical="center" wrapText="1" indent="1"/>
    </xf>
    <xf numFmtId="0" fontId="25" fillId="39" borderId="0" xfId="0" applyFont="1" applyFill="1" applyAlignment="1">
      <alignment vertical="center"/>
    </xf>
    <xf numFmtId="0" fontId="83" fillId="0" borderId="0" xfId="0" applyFont="1" applyAlignment="1">
      <alignment horizontal="right" vertical="center"/>
    </xf>
    <xf numFmtId="0" fontId="30" fillId="0" borderId="37" xfId="0" applyFont="1" applyBorder="1" applyAlignment="1">
      <alignment vertical="top" wrapText="1" indent="1"/>
    </xf>
    <xf numFmtId="0" fontId="30" fillId="0" borderId="12" xfId="0" applyFont="1" applyBorder="1" applyAlignment="1">
      <alignment vertical="top" wrapText="1" indent="1"/>
    </xf>
    <xf numFmtId="164" fontId="30" fillId="0" borderId="20" xfId="1" applyFont="1" applyFill="1" applyBorder="1" applyAlignment="1">
      <alignment vertical="top" wrapText="1" indent="1"/>
    </xf>
    <xf numFmtId="164" fontId="30" fillId="0" borderId="12" xfId="1" applyFont="1" applyFill="1" applyBorder="1" applyAlignment="1">
      <alignment vertical="top" wrapText="1" indent="1"/>
    </xf>
    <xf numFmtId="164" fontId="30" fillId="0" borderId="38" xfId="1" applyFont="1" applyFill="1" applyBorder="1" applyAlignment="1">
      <alignment vertical="top" wrapText="1" indent="1"/>
    </xf>
    <xf numFmtId="0" fontId="30" fillId="0" borderId="33" xfId="0" applyFont="1" applyBorder="1" applyAlignment="1">
      <alignment vertical="top" wrapText="1" indent="1"/>
    </xf>
    <xf numFmtId="164" fontId="30" fillId="0" borderId="22" xfId="1" applyFont="1" applyFill="1" applyBorder="1" applyAlignment="1">
      <alignment vertical="top" wrapText="1" indent="1"/>
    </xf>
    <xf numFmtId="164" fontId="30" fillId="0" borderId="34" xfId="1" applyFont="1" applyFill="1" applyBorder="1" applyAlignment="1">
      <alignment vertical="top" wrapText="1" indent="1"/>
    </xf>
    <xf numFmtId="164" fontId="81" fillId="0" borderId="32" xfId="1" applyFont="1" applyFill="1" applyBorder="1" applyAlignment="1">
      <alignment vertical="top" wrapText="1" indent="2"/>
    </xf>
    <xf numFmtId="14" fontId="72" fillId="0" borderId="24" xfId="0" applyNumberFormat="1" applyFont="1" applyBorder="1" applyAlignment="1">
      <alignment horizontal="center" vertical="top" wrapText="1"/>
    </xf>
    <xf numFmtId="0" fontId="72" fillId="0" borderId="31" xfId="0" applyFont="1" applyBorder="1" applyAlignment="1">
      <alignment horizontal="left" vertical="top" wrapText="1" indent="4"/>
    </xf>
    <xf numFmtId="43" fontId="74" fillId="0" borderId="0" xfId="0" applyNumberFormat="1" applyFont="1"/>
    <xf numFmtId="0" fontId="72" fillId="41" borderId="11" xfId="0" applyFont="1" applyFill="1" applyBorder="1" applyAlignment="1">
      <alignment vertical="top" wrapText="1" indent="1"/>
    </xf>
    <xf numFmtId="0" fontId="72" fillId="40" borderId="11" xfId="0" applyFont="1" applyFill="1" applyBorder="1" applyAlignment="1">
      <alignment horizontal="left" wrapText="1" indent="1"/>
    </xf>
    <xf numFmtId="164" fontId="78" fillId="0" borderId="0" xfId="1" applyFont="1"/>
    <xf numFmtId="43" fontId="25" fillId="0" borderId="0" xfId="0" applyNumberFormat="1" applyFont="1"/>
    <xf numFmtId="164" fontId="25" fillId="0" borderId="0" xfId="1" applyFont="1" applyFill="1" applyBorder="1" applyAlignment="1">
      <alignment horizontal="right" vertical="top" wrapText="1" indent="1"/>
    </xf>
    <xf numFmtId="0" fontId="72" fillId="0" borderId="35" xfId="0" applyFont="1" applyBorder="1" applyAlignment="1">
      <alignment horizontal="left" vertical="top" wrapText="1" indent="4"/>
    </xf>
    <xf numFmtId="0" fontId="72" fillId="0" borderId="27" xfId="0" applyFont="1" applyBorder="1" applyAlignment="1">
      <alignment horizontal="center" vertical="top" wrapText="1"/>
    </xf>
    <xf numFmtId="164" fontId="72" fillId="0" borderId="21" xfId="1" applyFont="1" applyFill="1" applyBorder="1" applyAlignment="1">
      <alignment horizontal="right" vertical="top" wrapText="1" indent="1"/>
    </xf>
    <xf numFmtId="164" fontId="72" fillId="0" borderId="27" xfId="1" applyFont="1" applyFill="1" applyBorder="1" applyAlignment="1">
      <alignment horizontal="right" vertical="top" wrapText="1" indent="1"/>
    </xf>
    <xf numFmtId="43" fontId="26" fillId="0" borderId="0" xfId="0" applyNumberFormat="1" applyFont="1"/>
    <xf numFmtId="164" fontId="26" fillId="0" borderId="0" xfId="0" applyNumberFormat="1" applyFont="1"/>
    <xf numFmtId="164" fontId="30" fillId="0" borderId="19" xfId="1" applyFont="1" applyFill="1" applyBorder="1" applyAlignment="1">
      <alignment vertical="top" wrapText="1" indent="1"/>
    </xf>
    <xf numFmtId="164" fontId="30" fillId="0" borderId="24" xfId="1" applyFont="1" applyFill="1" applyBorder="1" applyAlignment="1">
      <alignment vertical="top" wrapText="1" indent="1"/>
    </xf>
    <xf numFmtId="164" fontId="30" fillId="0" borderId="32" xfId="1" applyFont="1" applyFill="1" applyBorder="1" applyAlignment="1">
      <alignment vertical="top" wrapText="1" indent="1"/>
    </xf>
    <xf numFmtId="164" fontId="72" fillId="0" borderId="19" xfId="1" applyFont="1" applyFill="1" applyBorder="1" applyAlignment="1">
      <alignment vertical="top" wrapText="1" indent="1"/>
    </xf>
    <xf numFmtId="164" fontId="72" fillId="0" borderId="24" xfId="1" applyFont="1" applyFill="1" applyBorder="1" applyAlignment="1">
      <alignment vertical="top" wrapText="1" indent="1"/>
    </xf>
    <xf numFmtId="164" fontId="74" fillId="0" borderId="17" xfId="1" applyFont="1" applyFill="1" applyBorder="1" applyAlignment="1">
      <alignment vertical="top" wrapText="1" indent="1"/>
    </xf>
    <xf numFmtId="164" fontId="30" fillId="45" borderId="11" xfId="1" applyFont="1" applyFill="1" applyBorder="1" applyAlignment="1">
      <alignment horizontal="right" vertical="top" wrapText="1" indent="1"/>
    </xf>
    <xf numFmtId="0" fontId="30" fillId="40" borderId="11" xfId="0" applyFont="1" applyFill="1" applyBorder="1" applyAlignment="1">
      <alignment horizontal="left" wrapText="1" indent="1"/>
    </xf>
    <xf numFmtId="164" fontId="30" fillId="40" borderId="11" xfId="1" applyFont="1" applyFill="1" applyBorder="1" applyAlignment="1">
      <alignment horizontal="right" wrapText="1" indent="1"/>
    </xf>
    <xf numFmtId="0" fontId="84" fillId="0" borderId="0" xfId="0" applyFont="1"/>
    <xf numFmtId="0" fontId="85" fillId="43" borderId="11" xfId="0" applyFont="1" applyFill="1" applyBorder="1" applyAlignment="1">
      <alignment horizontal="center" wrapText="1"/>
    </xf>
    <xf numFmtId="0" fontId="86" fillId="43" borderId="11" xfId="0" applyFont="1" applyFill="1" applyBorder="1" applyAlignment="1">
      <alignment horizontal="center" wrapText="1"/>
    </xf>
    <xf numFmtId="0" fontId="30" fillId="37" borderId="33" xfId="0" applyFont="1" applyFill="1" applyBorder="1" applyAlignment="1">
      <alignment vertical="top" wrapText="1" indent="1"/>
    </xf>
    <xf numFmtId="0" fontId="30" fillId="34" borderId="26" xfId="0" applyFont="1" applyFill="1" applyBorder="1" applyAlignment="1">
      <alignment vertical="top" wrapText="1" indent="1"/>
    </xf>
    <xf numFmtId="164" fontId="30" fillId="34" borderId="22" xfId="1" applyFont="1" applyFill="1" applyBorder="1" applyAlignment="1">
      <alignment vertical="top" wrapText="1" indent="1"/>
    </xf>
    <xf numFmtId="164" fontId="30" fillId="34" borderId="26" xfId="1" applyFont="1" applyFill="1" applyBorder="1" applyAlignment="1">
      <alignment vertical="top" wrapText="1" indent="1"/>
    </xf>
    <xf numFmtId="164" fontId="30" fillId="34" borderId="34" xfId="1" applyFont="1" applyFill="1" applyBorder="1" applyAlignment="1">
      <alignment vertical="top" wrapText="1" indent="1"/>
    </xf>
    <xf numFmtId="0" fontId="30" fillId="0" borderId="24" xfId="0" applyFont="1" applyBorder="1" applyAlignment="1">
      <alignment horizontal="center" vertical="top" wrapText="1"/>
    </xf>
    <xf numFmtId="164" fontId="30" fillId="0" borderId="19" xfId="1" applyFont="1" applyBorder="1" applyAlignment="1">
      <alignment vertical="top" wrapText="1" indent="2"/>
    </xf>
    <xf numFmtId="164" fontId="30" fillId="0" borderId="24" xfId="1" applyFont="1" applyBorder="1" applyAlignment="1">
      <alignment vertical="top" wrapText="1" indent="2"/>
    </xf>
    <xf numFmtId="164" fontId="30" fillId="37" borderId="32" xfId="1" applyFont="1" applyFill="1" applyBorder="1" applyAlignment="1">
      <alignment vertical="top" wrapText="1" indent="2"/>
    </xf>
    <xf numFmtId="164" fontId="72" fillId="0" borderId="19" xfId="1" applyFont="1" applyBorder="1" applyAlignment="1">
      <alignment horizontal="right" vertical="top" wrapText="1" indent="1"/>
    </xf>
    <xf numFmtId="164" fontId="72" fillId="0" borderId="24" xfId="1" applyFont="1" applyBorder="1" applyAlignment="1">
      <alignment horizontal="right" vertical="top" wrapText="1" indent="1"/>
    </xf>
    <xf numFmtId="164" fontId="72" fillId="37" borderId="32" xfId="1" applyFont="1" applyFill="1" applyBorder="1" applyAlignment="1">
      <alignment horizontal="right" vertical="top" wrapText="1" indent="1"/>
    </xf>
    <xf numFmtId="0" fontId="72" fillId="0" borderId="24" xfId="0" quotePrefix="1" applyFont="1" applyBorder="1" applyAlignment="1">
      <alignment horizontal="center" vertical="top" wrapText="1"/>
    </xf>
    <xf numFmtId="0" fontId="72" fillId="0" borderId="35" xfId="0" applyFont="1" applyBorder="1" applyAlignment="1">
      <alignment horizontal="left" vertical="top" wrapText="1" indent="3"/>
    </xf>
    <xf numFmtId="164" fontId="72" fillId="0" borderId="21" xfId="1" applyFont="1" applyBorder="1" applyAlignment="1">
      <alignment horizontal="right" vertical="top" wrapText="1" indent="1"/>
    </xf>
    <xf numFmtId="164" fontId="72" fillId="0" borderId="27" xfId="1" applyFont="1" applyBorder="1" applyAlignment="1">
      <alignment horizontal="right" vertical="top" wrapText="1" indent="1"/>
    </xf>
    <xf numFmtId="164" fontId="72" fillId="37" borderId="36" xfId="1" applyFont="1" applyFill="1" applyBorder="1" applyAlignment="1">
      <alignment horizontal="right" vertical="top" wrapText="1" indent="1"/>
    </xf>
    <xf numFmtId="0" fontId="30" fillId="41" borderId="11" xfId="0" applyFont="1" applyFill="1" applyBorder="1" applyAlignment="1">
      <alignment vertical="top" wrapText="1" indent="2"/>
    </xf>
    <xf numFmtId="0" fontId="72" fillId="41" borderId="11" xfId="0" applyFont="1" applyFill="1" applyBorder="1" applyAlignment="1">
      <alignment horizontal="center" vertical="top" wrapText="1"/>
    </xf>
    <xf numFmtId="0" fontId="30" fillId="0" borderId="33" xfId="0" applyFont="1" applyBorder="1" applyAlignment="1">
      <alignment vertical="top" wrapText="1" indent="2"/>
    </xf>
    <xf numFmtId="0" fontId="72" fillId="0" borderId="26" xfId="0" applyFont="1" applyBorder="1" applyAlignment="1">
      <alignment horizontal="center" vertical="top" wrapText="1"/>
    </xf>
    <xf numFmtId="164" fontId="72" fillId="0" borderId="22" xfId="1" applyFont="1" applyBorder="1" applyAlignment="1">
      <alignment horizontal="right" vertical="top" wrapText="1" indent="1"/>
    </xf>
    <xf numFmtId="164" fontId="72" fillId="0" borderId="26" xfId="1" applyFont="1" applyBorder="1" applyAlignment="1">
      <alignment horizontal="right" vertical="top" wrapText="1" indent="1"/>
    </xf>
    <xf numFmtId="164" fontId="30" fillId="37" borderId="34" xfId="1" applyFont="1" applyFill="1" applyBorder="1" applyAlignment="1">
      <alignment horizontal="right" vertical="top" wrapText="1" indent="1"/>
    </xf>
    <xf numFmtId="0" fontId="25" fillId="0" borderId="0" xfId="0" applyFont="1" applyAlignment="1">
      <alignment vertical="top"/>
    </xf>
    <xf numFmtId="0" fontId="72" fillId="0" borderId="40" xfId="0" applyFont="1" applyBorder="1" applyAlignment="1">
      <alignment horizontal="left" vertical="top" wrapText="1" indent="4"/>
    </xf>
    <xf numFmtId="164" fontId="72" fillId="0" borderId="41" xfId="1" applyFont="1" applyBorder="1" applyAlignment="1">
      <alignment horizontal="right" vertical="top" wrapText="1" indent="1"/>
    </xf>
    <xf numFmtId="164" fontId="72" fillId="37" borderId="42" xfId="1" applyFont="1" applyFill="1" applyBorder="1" applyAlignment="1">
      <alignment horizontal="right" vertical="top" wrapText="1" indent="1"/>
    </xf>
    <xf numFmtId="0" fontId="72" fillId="0" borderId="39" xfId="0" applyFont="1" applyBorder="1" applyAlignment="1">
      <alignment horizontal="left" vertical="top" wrapText="1" indent="4"/>
    </xf>
    <xf numFmtId="164" fontId="72" fillId="0" borderId="0" xfId="1" applyFont="1" applyBorder="1" applyAlignment="1">
      <alignment horizontal="right" vertical="top" wrapText="1" indent="1"/>
    </xf>
    <xf numFmtId="164" fontId="72" fillId="0" borderId="12" xfId="1" applyFont="1" applyBorder="1" applyAlignment="1">
      <alignment horizontal="right" vertical="top" wrapText="1" indent="1"/>
    </xf>
    <xf numFmtId="164" fontId="72" fillId="37" borderId="13" xfId="1" applyFont="1" applyFill="1" applyBorder="1" applyAlignment="1">
      <alignment horizontal="right" vertical="top" wrapText="1" indent="1"/>
    </xf>
    <xf numFmtId="0" fontId="30" fillId="40" borderId="11" xfId="0" applyFont="1" applyFill="1" applyBorder="1" applyAlignment="1">
      <alignment horizontal="left" vertical="top" wrapText="1" indent="1"/>
    </xf>
    <xf numFmtId="0" fontId="72" fillId="40" borderId="11" xfId="0" applyFont="1" applyFill="1" applyBorder="1" applyAlignment="1">
      <alignment horizontal="center" vertical="top" wrapText="1"/>
    </xf>
    <xf numFmtId="164" fontId="30" fillId="46" borderId="11" xfId="1" applyFont="1" applyFill="1" applyBorder="1" applyAlignment="1">
      <alignment horizontal="right" vertical="top" wrapText="1" indent="1"/>
    </xf>
    <xf numFmtId="0" fontId="30" fillId="34" borderId="33" xfId="0" applyFont="1" applyFill="1" applyBorder="1" applyAlignment="1">
      <alignment vertical="top" wrapText="1" indent="1"/>
    </xf>
    <xf numFmtId="0" fontId="30" fillId="34" borderId="26" xfId="0" applyFont="1" applyFill="1" applyBorder="1" applyAlignment="1">
      <alignment horizontal="center" vertical="top" wrapText="1"/>
    </xf>
    <xf numFmtId="164" fontId="30" fillId="0" borderId="32" xfId="1" applyFont="1" applyBorder="1" applyAlignment="1">
      <alignment vertical="top" wrapText="1" indent="2"/>
    </xf>
    <xf numFmtId="164" fontId="72" fillId="0" borderId="32" xfId="1" applyFont="1" applyBorder="1" applyAlignment="1">
      <alignment horizontal="right" vertical="top" wrapText="1" indent="1"/>
    </xf>
    <xf numFmtId="164" fontId="72" fillId="0" borderId="36" xfId="1" applyFont="1" applyBorder="1" applyAlignment="1">
      <alignment horizontal="right" vertical="top" wrapText="1" indent="1"/>
    </xf>
    <xf numFmtId="164" fontId="30" fillId="0" borderId="34" xfId="1" applyFont="1" applyBorder="1" applyAlignment="1">
      <alignment horizontal="right" vertical="top" wrapText="1" indent="1"/>
    </xf>
    <xf numFmtId="164" fontId="30" fillId="40" borderId="11" xfId="1" applyFont="1" applyFill="1" applyBorder="1" applyAlignment="1">
      <alignment horizontal="right" vertical="top" wrapText="1" indent="1"/>
    </xf>
    <xf numFmtId="164" fontId="30" fillId="34" borderId="17" xfId="1" applyFont="1" applyFill="1" applyBorder="1" applyAlignment="1">
      <alignment vertical="top" wrapText="1" indent="1"/>
    </xf>
    <xf numFmtId="164" fontId="30" fillId="0" borderId="17" xfId="1" applyFont="1" applyBorder="1" applyAlignment="1">
      <alignment vertical="top" wrapText="1" indent="2"/>
    </xf>
    <xf numFmtId="43" fontId="72" fillId="0" borderId="0" xfId="0" applyNumberFormat="1" applyFont="1"/>
    <xf numFmtId="164" fontId="72" fillId="0" borderId="17" xfId="1" applyFont="1" applyBorder="1" applyAlignment="1">
      <alignment horizontal="right" vertical="top" wrapText="1" indent="1"/>
    </xf>
    <xf numFmtId="43" fontId="72" fillId="0" borderId="24" xfId="0" applyNumberFormat="1" applyFont="1" applyBorder="1"/>
    <xf numFmtId="0" fontId="30" fillId="0" borderId="35" xfId="0" applyFont="1" applyBorder="1" applyAlignment="1">
      <alignment horizontal="left" vertical="top" wrapText="1" indent="3"/>
    </xf>
    <xf numFmtId="0" fontId="87" fillId="0" borderId="24" xfId="0" applyFont="1" applyBorder="1" applyAlignment="1">
      <alignment horizontal="center" vertical="top" wrapText="1"/>
    </xf>
    <xf numFmtId="0" fontId="88" fillId="0" borderId="0" xfId="0" applyFont="1"/>
    <xf numFmtId="0" fontId="87" fillId="0" borderId="27" xfId="0" applyFont="1" applyBorder="1" applyAlignment="1">
      <alignment horizontal="center" vertical="top" wrapText="1"/>
    </xf>
    <xf numFmtId="43" fontId="78" fillId="0" borderId="0" xfId="0" applyNumberFormat="1" applyFont="1"/>
    <xf numFmtId="164" fontId="72" fillId="0" borderId="42" xfId="1" applyFont="1" applyBorder="1" applyAlignment="1">
      <alignment horizontal="right" vertical="top" wrapText="1" indent="1"/>
    </xf>
    <xf numFmtId="164" fontId="72" fillId="0" borderId="13" xfId="1" applyFont="1" applyBorder="1" applyAlignment="1">
      <alignment horizontal="right" vertical="top" wrapText="1" indent="1"/>
    </xf>
    <xf numFmtId="0" fontId="72" fillId="0" borderId="26" xfId="0" applyFont="1" applyBorder="1" applyAlignment="1">
      <alignment horizontal="left" vertical="top" wrapText="1" indent="4"/>
    </xf>
    <xf numFmtId="0" fontId="30" fillId="0" borderId="28" xfId="0" applyFont="1" applyBorder="1" applyAlignment="1">
      <alignment vertical="top" wrapText="1" indent="1"/>
    </xf>
    <xf numFmtId="0" fontId="30" fillId="0" borderId="23" xfId="0" applyFont="1" applyBorder="1" applyAlignment="1">
      <alignment vertical="top" wrapText="1" indent="1"/>
    </xf>
    <xf numFmtId="164" fontId="30" fillId="0" borderId="29" xfId="1" applyFont="1" applyFill="1" applyBorder="1" applyAlignment="1">
      <alignment vertical="top" wrapText="1" indent="1"/>
    </xf>
    <xf numFmtId="164" fontId="30" fillId="0" borderId="23" xfId="1" applyFont="1" applyFill="1" applyBorder="1" applyAlignment="1">
      <alignment vertical="top" wrapText="1" indent="1"/>
    </xf>
    <xf numFmtId="164" fontId="30" fillId="0" borderId="30" xfId="1" applyFont="1" applyFill="1" applyBorder="1" applyAlignment="1">
      <alignment vertical="top" wrapText="1" indent="1"/>
    </xf>
    <xf numFmtId="164" fontId="26" fillId="0" borderId="0" xfId="1" applyFont="1"/>
    <xf numFmtId="164" fontId="30" fillId="40" borderId="11" xfId="1" applyFont="1" applyFill="1" applyBorder="1" applyAlignment="1">
      <alignment horizontal="left" vertical="center" wrapText="1"/>
    </xf>
    <xf numFmtId="0" fontId="25" fillId="40" borderId="0" xfId="0" applyFont="1" applyFill="1"/>
    <xf numFmtId="164" fontId="72" fillId="0" borderId="0" xfId="1" applyFont="1" applyFill="1" applyBorder="1" applyAlignment="1">
      <alignment horizontal="right" vertical="top" wrapText="1" indent="1"/>
    </xf>
    <xf numFmtId="164" fontId="72" fillId="0" borderId="12" xfId="1" applyFont="1" applyFill="1" applyBorder="1" applyAlignment="1">
      <alignment horizontal="right" vertical="top" wrapText="1" indent="1"/>
    </xf>
    <xf numFmtId="164" fontId="72" fillId="0" borderId="57" xfId="1" applyFont="1" applyFill="1" applyBorder="1" applyAlignment="1">
      <alignment horizontal="right" vertical="top" wrapText="1" indent="1"/>
    </xf>
    <xf numFmtId="164" fontId="81" fillId="0" borderId="26" xfId="1" applyFont="1" applyFill="1" applyBorder="1" applyAlignment="1">
      <alignment vertical="top" wrapText="1" indent="1"/>
    </xf>
    <xf numFmtId="164" fontId="81" fillId="0" borderId="34" xfId="1" applyFont="1" applyFill="1" applyBorder="1" applyAlignment="1">
      <alignment vertical="top" wrapText="1" indent="1"/>
    </xf>
    <xf numFmtId="164" fontId="89" fillId="37" borderId="0" xfId="1" applyFont="1" applyFill="1" applyBorder="1"/>
    <xf numFmtId="164" fontId="78" fillId="0" borderId="0" xfId="0" applyNumberFormat="1" applyFont="1"/>
    <xf numFmtId="164" fontId="30" fillId="0" borderId="21" xfId="1" applyFont="1" applyFill="1" applyBorder="1" applyAlignment="1">
      <alignment vertical="top" wrapText="1" indent="1"/>
    </xf>
    <xf numFmtId="164" fontId="30" fillId="0" borderId="27" xfId="1" applyFont="1" applyFill="1" applyBorder="1" applyAlignment="1">
      <alignment vertical="top" wrapText="1" indent="1"/>
    </xf>
    <xf numFmtId="0" fontId="30" fillId="0" borderId="11" xfId="0" applyFont="1" applyBorder="1" applyAlignment="1">
      <alignment vertical="top" wrapText="1" indent="1"/>
    </xf>
    <xf numFmtId="164" fontId="30" fillId="0" borderId="11" xfId="1" applyFont="1" applyFill="1" applyBorder="1" applyAlignment="1">
      <alignment vertical="top" wrapText="1" indent="1"/>
    </xf>
    <xf numFmtId="0" fontId="74" fillId="41" borderId="0" xfId="0" applyFont="1" applyFill="1"/>
    <xf numFmtId="0" fontId="72" fillId="0" borderId="25" xfId="0" applyFont="1" applyBorder="1" applyAlignment="1">
      <alignment horizontal="center" vertical="top" wrapText="1"/>
    </xf>
    <xf numFmtId="164" fontId="72" fillId="0" borderId="25" xfId="1" applyFont="1" applyFill="1" applyBorder="1" applyAlignment="1">
      <alignment horizontal="right" vertical="top" wrapText="1" indent="1"/>
    </xf>
    <xf numFmtId="0" fontId="30" fillId="41" borderId="50" xfId="0" applyFont="1" applyFill="1" applyBorder="1" applyAlignment="1">
      <alignment vertical="top" wrapText="1" indent="1"/>
    </xf>
    <xf numFmtId="164" fontId="30" fillId="41" borderId="51" xfId="1" applyFont="1" applyFill="1" applyBorder="1" applyAlignment="1">
      <alignment horizontal="right" vertical="top" wrapText="1" indent="1"/>
    </xf>
    <xf numFmtId="0" fontId="30" fillId="0" borderId="50" xfId="0" applyFont="1" applyBorder="1" applyAlignment="1">
      <alignment vertical="top" wrapText="1" indent="1"/>
    </xf>
    <xf numFmtId="164" fontId="30" fillId="0" borderId="51" xfId="1" applyFont="1" applyFill="1" applyBorder="1" applyAlignment="1">
      <alignment vertical="top" wrapText="1" indent="1"/>
    </xf>
    <xf numFmtId="0" fontId="74" fillId="33" borderId="0" xfId="0" applyFont="1" applyFill="1"/>
    <xf numFmtId="0" fontId="30" fillId="40" borderId="53" xfId="0" applyFont="1" applyFill="1" applyBorder="1" applyAlignment="1">
      <alignment horizontal="left" vertical="center" wrapText="1" indent="1"/>
    </xf>
    <xf numFmtId="0" fontId="72" fillId="40" borderId="54" xfId="0" applyFont="1" applyFill="1" applyBorder="1" applyAlignment="1">
      <alignment horizontal="left" wrapText="1" indent="1"/>
    </xf>
    <xf numFmtId="164" fontId="30" fillId="40" borderId="55" xfId="1" applyFont="1" applyFill="1" applyBorder="1" applyAlignment="1">
      <alignment horizontal="right" vertical="center" wrapText="1" indent="1"/>
    </xf>
    <xf numFmtId="164" fontId="30" fillId="40" borderId="54" xfId="1" applyFont="1" applyFill="1" applyBorder="1" applyAlignment="1">
      <alignment horizontal="right" vertical="center" wrapText="1" indent="1"/>
    </xf>
    <xf numFmtId="164" fontId="30" fillId="40" borderId="56" xfId="1" applyFont="1" applyFill="1" applyBorder="1" applyAlignment="1">
      <alignment horizontal="right" vertical="center" wrapText="1" indent="1"/>
    </xf>
    <xf numFmtId="0" fontId="25" fillId="0" borderId="18" xfId="0" applyFont="1" applyBorder="1"/>
    <xf numFmtId="0" fontId="72" fillId="40" borderId="11" xfId="0" applyFont="1" applyFill="1" applyBorder="1" applyAlignment="1">
      <alignment horizontal="left" vertical="center" wrapText="1" indent="1"/>
    </xf>
    <xf numFmtId="0" fontId="75" fillId="38" borderId="71" xfId="0" applyFont="1" applyFill="1" applyBorder="1" applyAlignment="1">
      <alignment horizontal="center" vertical="center" wrapText="1"/>
    </xf>
    <xf numFmtId="0" fontId="75" fillId="38" borderId="21" xfId="0" applyFont="1" applyFill="1" applyBorder="1" applyAlignment="1">
      <alignment horizontal="center" vertical="center" wrapText="1"/>
    </xf>
    <xf numFmtId="0" fontId="76" fillId="40" borderId="50" xfId="0" applyFont="1" applyFill="1" applyBorder="1" applyAlignment="1">
      <alignment horizontal="center" vertical="center" wrapText="1"/>
    </xf>
    <xf numFmtId="0" fontId="76" fillId="40" borderId="51" xfId="0" applyFont="1" applyFill="1" applyBorder="1" applyAlignment="1">
      <alignment horizontal="center" vertical="center" wrapText="1"/>
    </xf>
    <xf numFmtId="0" fontId="76" fillId="40" borderId="52" xfId="0" applyFont="1" applyFill="1" applyBorder="1" applyAlignment="1">
      <alignment horizontal="center" vertical="center" wrapText="1"/>
    </xf>
    <xf numFmtId="0" fontId="30" fillId="41" borderId="69" xfId="0" applyFont="1" applyFill="1" applyBorder="1" applyAlignment="1">
      <alignment vertical="top" wrapText="1" indent="1"/>
    </xf>
    <xf numFmtId="0" fontId="72" fillId="41" borderId="68" xfId="0" applyFont="1" applyFill="1" applyBorder="1" applyAlignment="1">
      <alignment horizontal="right" vertical="top" wrapText="1" indent="1"/>
    </xf>
    <xf numFmtId="164" fontId="30" fillId="41" borderId="70" xfId="1" applyFont="1" applyFill="1" applyBorder="1" applyAlignment="1">
      <alignment horizontal="right" vertical="top" wrapText="1" indent="1"/>
    </xf>
    <xf numFmtId="164" fontId="30" fillId="41" borderId="68" xfId="1" applyFont="1" applyFill="1" applyBorder="1" applyAlignment="1">
      <alignment horizontal="right" vertical="top" wrapText="1" indent="1"/>
    </xf>
    <xf numFmtId="0" fontId="72" fillId="41" borderId="68" xfId="0" applyFont="1" applyFill="1" applyBorder="1" applyAlignment="1">
      <alignment vertical="top" wrapText="1" indent="1"/>
    </xf>
    <xf numFmtId="164" fontId="89" fillId="0" borderId="0" xfId="1" applyFont="1" applyBorder="1"/>
    <xf numFmtId="164" fontId="72" fillId="0" borderId="32" xfId="1" applyFont="1" applyFill="1" applyBorder="1" applyAlignment="1">
      <alignment vertical="top" wrapText="1" indent="2"/>
    </xf>
    <xf numFmtId="0" fontId="89" fillId="0" borderId="0" xfId="0" applyFont="1"/>
    <xf numFmtId="164" fontId="89" fillId="0" borderId="0" xfId="1" applyFont="1"/>
    <xf numFmtId="164" fontId="81" fillId="37" borderId="34" xfId="1" applyFont="1" applyFill="1" applyBorder="1" applyAlignment="1">
      <alignment vertical="top" wrapText="1" indent="1"/>
    </xf>
    <xf numFmtId="164" fontId="82" fillId="37" borderId="32" xfId="1" applyFont="1" applyFill="1" applyBorder="1" applyAlignment="1">
      <alignment horizontal="right" vertical="top" wrapText="1" indent="1"/>
    </xf>
    <xf numFmtId="164" fontId="89" fillId="37" borderId="0" xfId="0" applyNumberFormat="1" applyFont="1" applyFill="1"/>
    <xf numFmtId="164" fontId="72" fillId="0" borderId="32" xfId="0" applyNumberFormat="1" applyFont="1" applyBorder="1"/>
    <xf numFmtId="164" fontId="80" fillId="0" borderId="27" xfId="1" applyFont="1" applyFill="1" applyBorder="1" applyAlignment="1">
      <alignment horizontal="right" vertical="top" wrapText="1" indent="1"/>
    </xf>
    <xf numFmtId="0" fontId="83" fillId="0" borderId="0" xfId="0" applyFont="1" applyAlignment="1">
      <alignment horizontal="center" vertical="center"/>
    </xf>
    <xf numFmtId="164" fontId="25" fillId="0" borderId="0" xfId="1" applyFont="1" applyAlignment="1">
      <alignment horizontal="center"/>
    </xf>
    <xf numFmtId="164" fontId="78" fillId="0" borderId="0" xfId="1" applyFont="1" applyAlignment="1">
      <alignment horizontal="center"/>
    </xf>
    <xf numFmtId="164" fontId="25" fillId="0" borderId="0" xfId="1" applyFont="1" applyAlignment="1">
      <alignment horizontal="left"/>
    </xf>
    <xf numFmtId="164" fontId="72" fillId="0" borderId="72" xfId="1" applyFont="1" applyFill="1" applyBorder="1" applyAlignment="1">
      <alignment horizontal="right" vertical="top" wrapText="1" indent="1"/>
    </xf>
    <xf numFmtId="164" fontId="72" fillId="0" borderId="40" xfId="1" applyFont="1" applyFill="1" applyBorder="1" applyAlignment="1">
      <alignment horizontal="right" vertical="top" wrapText="1" indent="1"/>
    </xf>
    <xf numFmtId="164" fontId="26" fillId="0" borderId="0" xfId="1" applyFont="1" applyAlignment="1">
      <alignment horizontal="center"/>
    </xf>
    <xf numFmtId="0" fontId="25" fillId="41" borderId="0" xfId="0" applyFont="1" applyFill="1" applyAlignment="1">
      <alignment horizontal="center"/>
    </xf>
    <xf numFmtId="164" fontId="26" fillId="0" borderId="0" xfId="0" applyNumberFormat="1" applyFont="1" applyAlignment="1">
      <alignment horizontal="center"/>
    </xf>
    <xf numFmtId="164" fontId="79" fillId="0" borderId="24" xfId="1" applyFont="1" applyFill="1" applyBorder="1" applyAlignment="1">
      <alignment vertical="top" wrapText="1" indent="2"/>
    </xf>
    <xf numFmtId="164" fontId="25" fillId="40" borderId="0" xfId="0" applyNumberFormat="1" applyFont="1" applyFill="1" applyAlignment="1">
      <alignment horizontal="center"/>
    </xf>
    <xf numFmtId="164" fontId="72" fillId="0" borderId="19" xfId="1" applyFont="1" applyFill="1" applyBorder="1" applyAlignment="1">
      <alignment vertical="top" wrapText="1" indent="2"/>
    </xf>
    <xf numFmtId="164" fontId="72" fillId="0" borderId="34" xfId="1" applyFont="1" applyFill="1" applyBorder="1" applyAlignment="1">
      <alignment horizontal="right" vertical="top" wrapText="1" indent="1"/>
    </xf>
    <xf numFmtId="164" fontId="26" fillId="35" borderId="0" xfId="1" applyFont="1" applyFill="1" applyBorder="1" applyAlignment="1">
      <alignment horizontal="right" vertical="top" wrapText="1" indent="1"/>
    </xf>
    <xf numFmtId="164" fontId="72" fillId="0" borderId="26" xfId="1" applyFont="1" applyFill="1" applyBorder="1" applyAlignment="1">
      <alignment vertical="top" wrapText="1" indent="1"/>
    </xf>
    <xf numFmtId="0" fontId="26" fillId="0" borderId="0" xfId="0" applyFont="1" applyAlignment="1">
      <alignment horizontal="right"/>
    </xf>
    <xf numFmtId="164" fontId="72" fillId="0" borderId="24" xfId="0" quotePrefix="1" applyNumberFormat="1" applyFont="1" applyBorder="1" applyAlignment="1">
      <alignment horizontal="center" vertical="top" wrapText="1"/>
    </xf>
    <xf numFmtId="164" fontId="72" fillId="0" borderId="22" xfId="1" applyFont="1" applyFill="1" applyBorder="1" applyAlignment="1">
      <alignment horizontal="center" vertical="top" wrapText="1"/>
    </xf>
    <xf numFmtId="49" fontId="72" fillId="0" borderId="34" xfId="1" applyNumberFormat="1" applyFont="1" applyFill="1" applyBorder="1" applyAlignment="1">
      <alignment horizontal="center" vertical="top" wrapText="1"/>
    </xf>
    <xf numFmtId="164" fontId="79" fillId="0" borderId="26" xfId="1" applyFont="1" applyFill="1" applyBorder="1" applyAlignment="1">
      <alignment vertical="top" wrapText="1" indent="1"/>
    </xf>
    <xf numFmtId="0" fontId="30" fillId="0" borderId="31" xfId="0" applyFont="1" applyBorder="1" applyAlignment="1">
      <alignment horizontal="left" vertical="top" wrapText="1" indent="2"/>
    </xf>
    <xf numFmtId="164" fontId="30" fillId="0" borderId="34" xfId="1" applyFont="1" applyFill="1" applyBorder="1" applyAlignment="1">
      <alignment horizontal="right" vertical="top" wrapText="1" indent="1"/>
    </xf>
    <xf numFmtId="164" fontId="30" fillId="0" borderId="32" xfId="1" applyFont="1" applyFill="1" applyBorder="1" applyAlignment="1">
      <alignment horizontal="right" vertical="top" wrapText="1" indent="1"/>
    </xf>
    <xf numFmtId="164" fontId="72" fillId="0" borderId="19" xfId="1" applyFont="1" applyBorder="1" applyAlignment="1">
      <alignment vertical="top" wrapText="1" indent="2"/>
    </xf>
    <xf numFmtId="164" fontId="72" fillId="0" borderId="24" xfId="1" applyFont="1" applyBorder="1" applyAlignment="1">
      <alignment vertical="top" wrapText="1" indent="2"/>
    </xf>
    <xf numFmtId="164" fontId="25" fillId="40" borderId="0" xfId="0" applyNumberFormat="1" applyFont="1" applyFill="1"/>
    <xf numFmtId="164" fontId="89" fillId="0" borderId="0" xfId="0" applyNumberFormat="1" applyFont="1"/>
    <xf numFmtId="164" fontId="30" fillId="0" borderId="26" xfId="1" applyFont="1" applyFill="1" applyBorder="1" applyAlignment="1">
      <alignment vertical="top" wrapText="1" indent="2"/>
    </xf>
    <xf numFmtId="0" fontId="72" fillId="0" borderId="24" xfId="0" applyFont="1" applyBorder="1"/>
    <xf numFmtId="164" fontId="25" fillId="0" borderId="0" xfId="1" applyFont="1" applyAlignment="1">
      <alignment vertical="top"/>
    </xf>
    <xf numFmtId="0" fontId="30" fillId="0" borderId="22" xfId="0" applyFont="1" applyBorder="1" applyAlignment="1">
      <alignment vertical="top" wrapText="1" indent="1"/>
    </xf>
    <xf numFmtId="0" fontId="30" fillId="0" borderId="34" xfId="0" applyFont="1" applyBorder="1" applyAlignment="1">
      <alignment vertical="top" wrapText="1" indent="1"/>
    </xf>
    <xf numFmtId="0" fontId="25" fillId="0" borderId="0" xfId="0" applyFont="1" applyAlignment="1">
      <alignment horizontal="center" vertical="center"/>
    </xf>
    <xf numFmtId="0" fontId="25" fillId="40" borderId="0" xfId="0" applyFont="1" applyFill="1" applyAlignment="1">
      <alignment horizontal="center" vertical="center"/>
    </xf>
    <xf numFmtId="164" fontId="78" fillId="0" borderId="0" xfId="0" applyNumberFormat="1" applyFont="1" applyAlignment="1">
      <alignment horizontal="center"/>
    </xf>
    <xf numFmtId="0" fontId="30" fillId="33" borderId="11" xfId="0" applyFont="1" applyFill="1" applyBorder="1" applyAlignment="1">
      <alignment vertical="top" wrapText="1" indent="1"/>
    </xf>
    <xf numFmtId="0" fontId="72" fillId="33" borderId="11" xfId="0" applyFont="1" applyFill="1" applyBorder="1" applyAlignment="1">
      <alignment horizontal="right" vertical="top" wrapText="1" indent="1"/>
    </xf>
    <xf numFmtId="164" fontId="30" fillId="33" borderId="11" xfId="1" applyFont="1" applyFill="1" applyBorder="1" applyAlignment="1">
      <alignment horizontal="right" vertical="top" wrapText="1" indent="1"/>
    </xf>
    <xf numFmtId="0" fontId="25" fillId="0" borderId="0" xfId="0" applyFont="1" applyAlignment="1">
      <alignment horizontal="left" vertical="top"/>
    </xf>
    <xf numFmtId="43" fontId="25" fillId="0" borderId="0" xfId="0" applyNumberFormat="1" applyFont="1" applyAlignment="1">
      <alignment horizontal="center"/>
    </xf>
    <xf numFmtId="0" fontId="72" fillId="0" borderId="35" xfId="0" quotePrefix="1" applyFont="1" applyBorder="1" applyAlignment="1">
      <alignment horizontal="left" vertical="top" wrapText="1" indent="3"/>
    </xf>
    <xf numFmtId="0" fontId="72" fillId="0" borderId="31" xfId="0" quotePrefix="1" applyFont="1" applyBorder="1" applyAlignment="1">
      <alignment horizontal="left" vertical="top" wrapText="1" indent="3"/>
    </xf>
    <xf numFmtId="164" fontId="72" fillId="0" borderId="41" xfId="1" applyFont="1" applyFill="1" applyBorder="1" applyAlignment="1">
      <alignment horizontal="right" vertical="top" wrapText="1" indent="1"/>
    </xf>
    <xf numFmtId="164" fontId="72" fillId="0" borderId="42" xfId="1" applyFont="1" applyFill="1" applyBorder="1" applyAlignment="1">
      <alignment vertical="top" wrapText="1" indent="1"/>
    </xf>
    <xf numFmtId="164" fontId="72" fillId="0" borderId="49" xfId="1" applyFont="1" applyFill="1" applyBorder="1" applyAlignment="1">
      <alignment horizontal="right" vertical="top" wrapText="1" indent="1"/>
    </xf>
    <xf numFmtId="164" fontId="72" fillId="0" borderId="58" xfId="1" applyFont="1" applyFill="1" applyBorder="1" applyAlignment="1">
      <alignment vertical="top" wrapText="1" indent="1"/>
    </xf>
    <xf numFmtId="0" fontId="72" fillId="33" borderId="11" xfId="0" applyFont="1" applyFill="1" applyBorder="1" applyAlignment="1">
      <alignment vertical="top" wrapText="1" indent="1"/>
    </xf>
    <xf numFmtId="0" fontId="30" fillId="39" borderId="11" xfId="0" applyFont="1" applyFill="1" applyBorder="1" applyAlignment="1">
      <alignment horizontal="left" vertical="center" wrapText="1" indent="1"/>
    </xf>
    <xf numFmtId="0" fontId="72" fillId="39" borderId="11" xfId="0" applyFont="1" applyFill="1" applyBorder="1" applyAlignment="1">
      <alignment horizontal="left" wrapText="1" indent="1"/>
    </xf>
    <xf numFmtId="164" fontId="30" fillId="39" borderId="11" xfId="1" applyFont="1" applyFill="1" applyBorder="1" applyAlignment="1">
      <alignment horizontal="right" vertical="center" wrapText="1" indent="1"/>
    </xf>
    <xf numFmtId="43" fontId="78" fillId="0" borderId="0" xfId="0" applyNumberFormat="1" applyFont="1" applyAlignment="1">
      <alignment horizontal="center"/>
    </xf>
    <xf numFmtId="164" fontId="25" fillId="0" borderId="0" xfId="1" applyFont="1" applyAlignment="1">
      <alignment horizontal="center" vertical="top"/>
    </xf>
    <xf numFmtId="164" fontId="26" fillId="0" borderId="0" xfId="0" applyNumberFormat="1" applyFont="1" applyAlignment="1">
      <alignment horizontal="center" vertical="top"/>
    </xf>
    <xf numFmtId="0" fontId="80" fillId="0" borderId="31" xfId="0" applyFont="1" applyBorder="1" applyAlignment="1">
      <alignment horizontal="left" vertical="top" wrapText="1" indent="4"/>
    </xf>
    <xf numFmtId="164" fontId="30" fillId="0" borderId="34" xfId="1" applyFont="1" applyFill="1" applyBorder="1" applyAlignment="1">
      <alignment vertical="top" wrapText="1" indent="2"/>
    </xf>
    <xf numFmtId="164" fontId="72" fillId="0" borderId="42" xfId="1" applyFont="1" applyFill="1" applyBorder="1" applyAlignment="1">
      <alignment horizontal="right" vertical="top" wrapText="1" indent="1"/>
    </xf>
    <xf numFmtId="164" fontId="30" fillId="0" borderId="42" xfId="1" applyFont="1" applyFill="1" applyBorder="1" applyAlignment="1">
      <alignment vertical="top" wrapText="1" indent="2"/>
    </xf>
    <xf numFmtId="164" fontId="72" fillId="0" borderId="58" xfId="1" applyFont="1" applyFill="1" applyBorder="1" applyAlignment="1">
      <alignment horizontal="right" vertical="top" wrapText="1" indent="1"/>
    </xf>
    <xf numFmtId="164" fontId="81" fillId="0" borderId="45" xfId="1" applyFont="1" applyFill="1" applyBorder="1" applyAlignment="1">
      <alignment vertical="top" wrapText="1" indent="1"/>
    </xf>
    <xf numFmtId="164" fontId="89" fillId="37" borderId="0" xfId="1" applyFont="1" applyFill="1"/>
    <xf numFmtId="0" fontId="25" fillId="0" borderId="16" xfId="0" applyFont="1" applyBorder="1"/>
    <xf numFmtId="0" fontId="91" fillId="0" borderId="40" xfId="0" applyFont="1" applyBorder="1" applyAlignment="1">
      <alignment horizontal="center" vertical="top"/>
    </xf>
    <xf numFmtId="0" fontId="91" fillId="0" borderId="24" xfId="0" applyFont="1" applyBorder="1" applyAlignment="1">
      <alignment vertical="top" wrapText="1"/>
    </xf>
    <xf numFmtId="0" fontId="91" fillId="0" borderId="41" xfId="0" applyFont="1" applyBorder="1" applyAlignment="1">
      <alignment horizontal="center" vertical="top"/>
    </xf>
    <xf numFmtId="164" fontId="91" fillId="0" borderId="24" xfId="1" applyFont="1" applyBorder="1" applyAlignment="1">
      <alignment vertical="top"/>
    </xf>
    <xf numFmtId="164" fontId="91" fillId="0" borderId="41" xfId="1" applyFont="1" applyBorder="1" applyAlignment="1">
      <alignment vertical="top"/>
    </xf>
    <xf numFmtId="164" fontId="92" fillId="37" borderId="26" xfId="1" applyFont="1" applyFill="1" applyBorder="1" applyAlignment="1">
      <alignment vertical="top"/>
    </xf>
    <xf numFmtId="164" fontId="93" fillId="0" borderId="0" xfId="0" applyNumberFormat="1" applyFont="1"/>
    <xf numFmtId="0" fontId="91" fillId="37" borderId="40" xfId="0" applyFont="1" applyFill="1" applyBorder="1" applyAlignment="1">
      <alignment horizontal="center" vertical="top"/>
    </xf>
    <xf numFmtId="0" fontId="91" fillId="37" borderId="24" xfId="0" applyFont="1" applyFill="1" applyBorder="1" applyAlignment="1">
      <alignment vertical="top" wrapText="1"/>
    </xf>
    <xf numFmtId="0" fontId="91" fillId="37" borderId="41" xfId="0" applyFont="1" applyFill="1" applyBorder="1" applyAlignment="1">
      <alignment horizontal="center" vertical="top"/>
    </xf>
    <xf numFmtId="164" fontId="91" fillId="37" borderId="24" xfId="1" applyFont="1" applyFill="1" applyBorder="1" applyAlignment="1">
      <alignment vertical="top"/>
    </xf>
    <xf numFmtId="164" fontId="91" fillId="37" borderId="41" xfId="1" applyFont="1" applyFill="1" applyBorder="1" applyAlignment="1">
      <alignment vertical="top"/>
    </xf>
    <xf numFmtId="0" fontId="90" fillId="0" borderId="0" xfId="0" applyFont="1"/>
    <xf numFmtId="0" fontId="91" fillId="0" borderId="41" xfId="0" applyFont="1" applyBorder="1" applyAlignment="1">
      <alignment horizontal="center" vertical="top" wrapText="1"/>
    </xf>
    <xf numFmtId="0" fontId="94" fillId="0" borderId="24" xfId="0" applyFont="1" applyBorder="1" applyAlignment="1">
      <alignment vertical="top" wrapText="1"/>
    </xf>
    <xf numFmtId="164" fontId="92" fillId="37" borderId="24" xfId="1" applyFont="1" applyFill="1" applyBorder="1" applyAlignment="1">
      <alignment vertical="top"/>
    </xf>
    <xf numFmtId="164" fontId="93" fillId="0" borderId="0" xfId="1" applyFont="1"/>
    <xf numFmtId="0" fontId="91" fillId="0" borderId="48" xfId="0" applyFont="1" applyBorder="1" applyAlignment="1">
      <alignment horizontal="center" vertical="top"/>
    </xf>
    <xf numFmtId="0" fontId="91" fillId="0" borderId="27" xfId="0" applyFont="1" applyBorder="1" applyAlignment="1">
      <alignment vertical="top" wrapText="1"/>
    </xf>
    <xf numFmtId="0" fontId="91" fillId="0" borderId="49" xfId="0" applyFont="1" applyBorder="1" applyAlignment="1">
      <alignment horizontal="center" vertical="top"/>
    </xf>
    <xf numFmtId="164" fontId="91" fillId="0" borderId="27" xfId="1" applyFont="1" applyBorder="1" applyAlignment="1">
      <alignment vertical="top"/>
    </xf>
    <xf numFmtId="164" fontId="91" fillId="0" borderId="49" xfId="1" applyFont="1" applyBorder="1" applyAlignment="1">
      <alignment vertical="top"/>
    </xf>
    <xf numFmtId="164" fontId="95" fillId="0" borderId="0" xfId="1" applyFont="1"/>
    <xf numFmtId="0" fontId="92" fillId="40" borderId="46" xfId="0" applyFont="1" applyFill="1" applyBorder="1" applyAlignment="1">
      <alignment horizontal="center"/>
    </xf>
    <xf numFmtId="0" fontId="92" fillId="40" borderId="11" xfId="0" applyFont="1" applyFill="1" applyBorder="1" applyAlignment="1">
      <alignment wrapText="1"/>
    </xf>
    <xf numFmtId="0" fontId="92" fillId="40" borderId="47" xfId="0" applyFont="1" applyFill="1" applyBorder="1" applyAlignment="1">
      <alignment horizontal="center"/>
    </xf>
    <xf numFmtId="164" fontId="92" fillId="40" borderId="11" xfId="1" applyFont="1" applyFill="1" applyBorder="1"/>
    <xf numFmtId="164" fontId="95" fillId="0" borderId="14" xfId="0" applyNumberFormat="1" applyFont="1" applyBorder="1"/>
    <xf numFmtId="0" fontId="94" fillId="0" borderId="11" xfId="0" applyFont="1" applyBorder="1"/>
    <xf numFmtId="0" fontId="96" fillId="0" borderId="0" xfId="0" applyFont="1" applyAlignment="1">
      <alignment horizontal="left"/>
    </xf>
    <xf numFmtId="164" fontId="91" fillId="0" borderId="0" xfId="1" applyFont="1"/>
    <xf numFmtId="164" fontId="98" fillId="0" borderId="0" xfId="0" applyNumberFormat="1" applyFont="1"/>
    <xf numFmtId="0" fontId="93" fillId="0" borderId="0" xfId="0" applyFont="1"/>
    <xf numFmtId="0" fontId="98" fillId="0" borderId="0" xfId="0" applyFont="1" applyAlignment="1">
      <alignment horizontal="center"/>
    </xf>
    <xf numFmtId="0" fontId="93" fillId="0" borderId="0" xfId="0" applyFont="1" applyAlignment="1">
      <alignment horizontal="right"/>
    </xf>
    <xf numFmtId="4" fontId="99" fillId="0" borderId="0" xfId="0" applyNumberFormat="1" applyFont="1"/>
    <xf numFmtId="4" fontId="78" fillId="0" borderId="0" xfId="0" applyNumberFormat="1" applyFont="1"/>
    <xf numFmtId="4" fontId="93" fillId="0" borderId="0" xfId="0" applyNumberFormat="1" applyFont="1"/>
    <xf numFmtId="14" fontId="95" fillId="0" borderId="0" xfId="0" applyNumberFormat="1" applyFont="1"/>
    <xf numFmtId="0" fontId="95" fillId="0" borderId="0" xfId="0" applyFont="1"/>
    <xf numFmtId="4" fontId="95" fillId="0" borderId="0" xfId="0" applyNumberFormat="1" applyFont="1"/>
    <xf numFmtId="14" fontId="93" fillId="0" borderId="0" xfId="0" applyNumberFormat="1" applyFont="1"/>
    <xf numFmtId="0" fontId="25" fillId="0" borderId="0" xfId="0" applyFont="1" applyAlignment="1">
      <alignment wrapText="1"/>
    </xf>
    <xf numFmtId="0" fontId="90" fillId="0" borderId="0" xfId="0" applyFont="1" applyAlignment="1">
      <alignment horizontal="center"/>
    </xf>
    <xf numFmtId="0" fontId="101" fillId="0" borderId="0" xfId="0" applyFont="1" applyAlignment="1">
      <alignment wrapText="1"/>
    </xf>
    <xf numFmtId="0" fontId="25" fillId="0" borderId="11" xfId="0" applyFont="1" applyBorder="1" applyAlignment="1">
      <alignment wrapText="1"/>
    </xf>
    <xf numFmtId="164" fontId="25" fillId="0" borderId="11" xfId="1" applyFont="1" applyBorder="1" applyAlignment="1">
      <alignment horizontal="center"/>
    </xf>
    <xf numFmtId="164" fontId="25" fillId="0" borderId="11" xfId="1" applyFont="1" applyBorder="1"/>
    <xf numFmtId="0" fontId="25" fillId="0" borderId="11" xfId="0" applyFont="1" applyBorder="1" applyAlignment="1">
      <alignment horizontal="center"/>
    </xf>
    <xf numFmtId="0" fontId="26" fillId="0" borderId="11" xfId="0" applyFont="1" applyBorder="1" applyAlignment="1">
      <alignment horizontal="center"/>
    </xf>
    <xf numFmtId="164" fontId="26" fillId="0" borderId="11" xfId="1" applyFont="1" applyBorder="1"/>
    <xf numFmtId="164" fontId="25" fillId="0" borderId="12" xfId="1" applyFont="1" applyFill="1" applyBorder="1"/>
    <xf numFmtId="0" fontId="76" fillId="0" borderId="0" xfId="0" applyFont="1" applyAlignment="1">
      <alignment horizontal="right" vertical="center"/>
    </xf>
    <xf numFmtId="0" fontId="30" fillId="45" borderId="11" xfId="0" applyFont="1" applyFill="1" applyBorder="1" applyAlignment="1">
      <alignment vertical="top" wrapText="1" indent="1"/>
    </xf>
    <xf numFmtId="164" fontId="30" fillId="34" borderId="19" xfId="1" applyFont="1" applyFill="1" applyBorder="1" applyAlignment="1">
      <alignment vertical="top" wrapText="1" indent="2"/>
    </xf>
    <xf numFmtId="164" fontId="30" fillId="34" borderId="24" xfId="1" applyFont="1" applyFill="1" applyBorder="1" applyAlignment="1">
      <alignment vertical="top" wrapText="1" indent="2"/>
    </xf>
    <xf numFmtId="164" fontId="30" fillId="34" borderId="32" xfId="1" applyFont="1" applyFill="1" applyBorder="1" applyAlignment="1">
      <alignment vertical="top" wrapText="1" indent="2"/>
    </xf>
    <xf numFmtId="164" fontId="30" fillId="40" borderId="11" xfId="1" applyFont="1" applyFill="1" applyBorder="1" applyAlignment="1">
      <alignment horizontal="left" vertical="top" wrapText="1"/>
    </xf>
    <xf numFmtId="164" fontId="72" fillId="0" borderId="0" xfId="0" applyNumberFormat="1" applyFont="1"/>
    <xf numFmtId="164" fontId="30" fillId="40" borderId="11" xfId="1" applyFont="1" applyFill="1" applyBorder="1" applyAlignment="1">
      <alignment horizontal="right" vertical="top" wrapText="1"/>
    </xf>
    <xf numFmtId="0" fontId="30" fillId="44" borderId="11" xfId="0" applyFont="1" applyFill="1" applyBorder="1" applyAlignment="1">
      <alignment horizontal="left" vertical="center" wrapText="1" indent="1"/>
    </xf>
    <xf numFmtId="164" fontId="30" fillId="44" borderId="11" xfId="1" applyFont="1" applyFill="1" applyBorder="1" applyAlignment="1">
      <alignment horizontal="left" vertical="top" wrapText="1"/>
    </xf>
    <xf numFmtId="164" fontId="30" fillId="0" borderId="0" xfId="1" applyFont="1"/>
    <xf numFmtId="0" fontId="75" fillId="38" borderId="0" xfId="0" applyFont="1" applyFill="1" applyAlignment="1">
      <alignment horizontal="center" vertical="center" wrapText="1"/>
    </xf>
    <xf numFmtId="0" fontId="74" fillId="0" borderId="0" xfId="0" applyFont="1" applyAlignment="1">
      <alignment vertical="center"/>
    </xf>
    <xf numFmtId="164" fontId="26" fillId="0" borderId="0" xfId="1" applyFont="1" applyAlignment="1">
      <alignment horizontal="center" vertical="top"/>
    </xf>
    <xf numFmtId="164" fontId="26" fillId="0" borderId="0" xfId="0" applyNumberFormat="1" applyFont="1" applyAlignment="1">
      <alignment horizontal="center" vertical="center"/>
    </xf>
    <xf numFmtId="164" fontId="72" fillId="0" borderId="41" xfId="1" applyFont="1" applyFill="1" applyBorder="1" applyAlignment="1">
      <alignment vertical="top" wrapText="1" indent="1"/>
    </xf>
    <xf numFmtId="164" fontId="72" fillId="0" borderId="49" xfId="1" applyFont="1" applyFill="1" applyBorder="1" applyAlignment="1">
      <alignment vertical="top" wrapText="1" indent="1"/>
    </xf>
    <xf numFmtId="164" fontId="30" fillId="0" borderId="0" xfId="1" applyFont="1" applyBorder="1" applyAlignment="1">
      <alignment vertical="top" wrapText="1" indent="2"/>
    </xf>
    <xf numFmtId="164" fontId="72" fillId="0" borderId="21" xfId="1" applyFont="1" applyBorder="1" applyAlignment="1">
      <alignment vertical="top" wrapText="1" indent="2"/>
    </xf>
    <xf numFmtId="164" fontId="72" fillId="0" borderId="27" xfId="1" applyFont="1" applyBorder="1" applyAlignment="1">
      <alignment vertical="top" wrapText="1" indent="2"/>
    </xf>
    <xf numFmtId="164" fontId="30" fillId="0" borderId="21" xfId="1" applyFont="1" applyBorder="1" applyAlignment="1">
      <alignment vertical="top" wrapText="1" indent="2"/>
    </xf>
    <xf numFmtId="164" fontId="30" fillId="0" borderId="27" xfId="1" applyFont="1" applyBorder="1" applyAlignment="1">
      <alignment vertical="top" wrapText="1" indent="2"/>
    </xf>
    <xf numFmtId="164" fontId="102" fillId="34" borderId="34" xfId="1" applyFont="1" applyFill="1" applyBorder="1" applyAlignment="1">
      <alignment vertical="top" wrapText="1" indent="1"/>
    </xf>
    <xf numFmtId="0" fontId="72" fillId="0" borderId="24" xfId="0" quotePrefix="1" applyFont="1" applyBorder="1" applyAlignment="1">
      <alignment horizontal="left" vertical="top" wrapText="1" indent="4"/>
    </xf>
    <xf numFmtId="0" fontId="30" fillId="0" borderId="26" xfId="0" applyFont="1" applyBorder="1" applyAlignment="1">
      <alignment vertical="top" wrapText="1" indent="2"/>
    </xf>
    <xf numFmtId="164" fontId="30" fillId="0" borderId="22" xfId="1" applyFont="1" applyFill="1" applyBorder="1" applyAlignment="1">
      <alignment vertical="top" wrapText="1" indent="2"/>
    </xf>
    <xf numFmtId="0" fontId="30" fillId="41" borderId="68" xfId="0" applyFont="1" applyFill="1" applyBorder="1" applyAlignment="1">
      <alignment vertical="top" wrapText="1" indent="1"/>
    </xf>
    <xf numFmtId="164" fontId="30" fillId="41" borderId="47" xfId="1" applyFont="1" applyFill="1" applyBorder="1" applyAlignment="1">
      <alignment horizontal="right" vertical="top" wrapText="1" indent="1"/>
    </xf>
    <xf numFmtId="164" fontId="30" fillId="41" borderId="14" xfId="1" applyFont="1" applyFill="1" applyBorder="1" applyAlignment="1">
      <alignment horizontal="right" vertical="top" wrapText="1" indent="1"/>
    </xf>
    <xf numFmtId="164" fontId="103" fillId="34" borderId="34" xfId="1" applyFont="1" applyFill="1" applyBorder="1" applyAlignment="1">
      <alignment vertical="top" wrapText="1" indent="1"/>
    </xf>
    <xf numFmtId="164" fontId="48" fillId="37" borderId="45" xfId="1" applyFont="1" applyFill="1" applyBorder="1" applyAlignment="1">
      <alignment horizontal="right" vertical="top" wrapText="1" indent="1"/>
    </xf>
    <xf numFmtId="164" fontId="82" fillId="0" borderId="38" xfId="1" applyFont="1" applyFill="1" applyBorder="1" applyAlignment="1">
      <alignment vertical="top" wrapText="1" indent="1"/>
    </xf>
    <xf numFmtId="164" fontId="43" fillId="41" borderId="11" xfId="0" applyNumberFormat="1" applyFont="1" applyFill="1" applyBorder="1" applyAlignment="1">
      <alignment vertical="top" wrapText="1" indent="2"/>
    </xf>
    <xf numFmtId="4" fontId="91" fillId="0" borderId="0" xfId="0" applyNumberFormat="1" applyFont="1"/>
    <xf numFmtId="4" fontId="93" fillId="0" borderId="0" xfId="0" applyNumberFormat="1" applyFont="1" applyAlignment="1">
      <alignment horizontal="right"/>
    </xf>
    <xf numFmtId="0" fontId="80" fillId="0" borderId="24" xfId="0" applyFont="1" applyBorder="1" applyAlignment="1">
      <alignment horizontal="center" vertical="top" wrapText="1"/>
    </xf>
    <xf numFmtId="164" fontId="80" fillId="0" borderId="19" xfId="1" applyFont="1" applyFill="1" applyBorder="1" applyAlignment="1">
      <alignment horizontal="right" vertical="top" wrapText="1" indent="1"/>
    </xf>
    <xf numFmtId="164" fontId="80" fillId="0" borderId="32" xfId="1" applyFont="1" applyFill="1" applyBorder="1" applyAlignment="1">
      <alignment horizontal="right" vertical="top" wrapText="1" indent="1"/>
    </xf>
    <xf numFmtId="0" fontId="104" fillId="0" borderId="0" xfId="0" applyFont="1"/>
    <xf numFmtId="0" fontId="100" fillId="49" borderId="31" xfId="0" applyFont="1" applyFill="1" applyBorder="1" applyAlignment="1">
      <alignment vertical="top" wrapText="1" indent="2"/>
    </xf>
    <xf numFmtId="0" fontId="72" fillId="0" borderId="31" xfId="0" quotePrefix="1" applyFont="1" applyBorder="1" applyAlignment="1">
      <alignment horizontal="left" vertical="top" wrapText="1" indent="4"/>
    </xf>
    <xf numFmtId="0" fontId="72" fillId="0" borderId="33" xfId="0" applyFont="1" applyBorder="1" applyAlignment="1">
      <alignment horizontal="left" vertical="top" wrapText="1" indent="3"/>
    </xf>
    <xf numFmtId="164" fontId="72" fillId="0" borderId="22" xfId="1" applyFont="1" applyFill="1" applyBorder="1" applyAlignment="1">
      <alignment horizontal="right" vertical="top" wrapText="1" indent="1"/>
    </xf>
    <xf numFmtId="164" fontId="43" fillId="0" borderId="73" xfId="1" applyFont="1" applyBorder="1" applyAlignment="1">
      <alignment horizontal="right" vertical="top" wrapText="1" indent="1"/>
    </xf>
    <xf numFmtId="164" fontId="44" fillId="0" borderId="39" xfId="0" applyNumberFormat="1" applyFont="1" applyBorder="1"/>
    <xf numFmtId="14" fontId="97" fillId="0" borderId="0" xfId="0" applyNumberFormat="1" applyFont="1" applyAlignment="1">
      <alignment wrapText="1"/>
    </xf>
    <xf numFmtId="14" fontId="65" fillId="0" borderId="0" xfId="1" applyNumberFormat="1" applyFont="1" applyAlignment="1">
      <alignment horizontal="right" vertical="top"/>
    </xf>
    <xf numFmtId="43" fontId="105" fillId="0" borderId="0" xfId="0" applyNumberFormat="1" applyFont="1"/>
    <xf numFmtId="0" fontId="106" fillId="0" borderId="0" xfId="0" applyFont="1"/>
    <xf numFmtId="164" fontId="106" fillId="0" borderId="0" xfId="0" applyNumberFormat="1" applyFont="1"/>
    <xf numFmtId="0" fontId="89" fillId="0" borderId="0" xfId="0" applyFont="1" applyAlignment="1">
      <alignment vertical="top"/>
    </xf>
    <xf numFmtId="0" fontId="72" fillId="0" borderId="35" xfId="0" quotePrefix="1" applyFont="1" applyBorder="1" applyAlignment="1">
      <alignment horizontal="left" vertical="top" wrapText="1" indent="4"/>
    </xf>
    <xf numFmtId="0" fontId="65" fillId="0" borderId="31" xfId="0" applyFont="1" applyBorder="1" applyAlignment="1">
      <alignment horizontal="left" vertical="top" wrapText="1" indent="4"/>
    </xf>
    <xf numFmtId="0" fontId="65" fillId="0" borderId="35" xfId="0" applyFont="1" applyBorder="1" applyAlignment="1">
      <alignment horizontal="left" vertical="top" wrapText="1" indent="4"/>
    </xf>
    <xf numFmtId="164" fontId="43" fillId="0" borderId="36" xfId="1" applyFont="1" applyBorder="1" applyAlignment="1">
      <alignment horizontal="right" vertical="top" wrapText="1" indent="1"/>
    </xf>
    <xf numFmtId="0" fontId="48" fillId="37" borderId="31" xfId="0" applyFont="1" applyFill="1" applyBorder="1" applyAlignment="1">
      <alignment horizontal="left" vertical="top" wrapText="1" indent="3"/>
    </xf>
    <xf numFmtId="0" fontId="74" fillId="40" borderId="46" xfId="0" applyFont="1" applyFill="1" applyBorder="1" applyAlignment="1">
      <alignment horizontal="center" vertical="center" wrapText="1"/>
    </xf>
    <xf numFmtId="0" fontId="30" fillId="0" borderId="43" xfId="0" applyFont="1" applyBorder="1" applyAlignment="1">
      <alignment vertical="top" wrapText="1" indent="1"/>
    </xf>
    <xf numFmtId="0" fontId="72" fillId="0" borderId="40" xfId="0" applyFont="1" applyBorder="1" applyAlignment="1">
      <alignment vertical="top" wrapText="1" indent="4"/>
    </xf>
    <xf numFmtId="0" fontId="72" fillId="0" borderId="48" xfId="0" applyFont="1" applyBorder="1" applyAlignment="1">
      <alignment vertical="top" wrapText="1" indent="4"/>
    </xf>
    <xf numFmtId="0" fontId="30" fillId="41" borderId="46" xfId="0" applyFont="1" applyFill="1" applyBorder="1" applyAlignment="1">
      <alignment vertical="top" wrapText="1" indent="1"/>
    </xf>
    <xf numFmtId="0" fontId="30" fillId="40" borderId="46" xfId="0" applyFont="1" applyFill="1" applyBorder="1" applyAlignment="1">
      <alignment horizontal="left" vertical="center" wrapText="1" indent="1"/>
    </xf>
    <xf numFmtId="0" fontId="74" fillId="40" borderId="11" xfId="0" applyFont="1" applyFill="1" applyBorder="1" applyAlignment="1">
      <alignment horizontal="center" vertical="center" wrapText="1"/>
    </xf>
    <xf numFmtId="0" fontId="30" fillId="0" borderId="24" xfId="0" applyFont="1" applyBorder="1" applyAlignment="1">
      <alignment vertical="top" wrapText="1" indent="1"/>
    </xf>
    <xf numFmtId="0" fontId="74" fillId="40" borderId="47" xfId="0" applyFont="1" applyFill="1" applyBorder="1" applyAlignment="1">
      <alignment horizontal="center" vertical="center" wrapText="1"/>
    </xf>
    <xf numFmtId="164" fontId="30" fillId="0" borderId="44" xfId="1" applyFont="1" applyFill="1" applyBorder="1" applyAlignment="1">
      <alignment vertical="top" wrapText="1" indent="1"/>
    </xf>
    <xf numFmtId="164" fontId="30" fillId="0" borderId="41" xfId="1" applyFont="1" applyFill="1" applyBorder="1" applyAlignment="1">
      <alignment vertical="top" wrapText="1" indent="1"/>
    </xf>
    <xf numFmtId="164" fontId="30" fillId="40" borderId="47" xfId="1" applyFont="1" applyFill="1" applyBorder="1" applyAlignment="1">
      <alignment horizontal="right" vertical="center" wrapText="1" indent="1"/>
    </xf>
    <xf numFmtId="0" fontId="74" fillId="40" borderId="14" xfId="0" applyFont="1" applyFill="1" applyBorder="1" applyAlignment="1">
      <alignment horizontal="center" vertical="center" wrapText="1"/>
    </xf>
    <xf numFmtId="164" fontId="30" fillId="0" borderId="45" xfId="1" applyFont="1" applyFill="1" applyBorder="1" applyAlignment="1">
      <alignment vertical="top" wrapText="1" indent="1"/>
    </xf>
    <xf numFmtId="164" fontId="30" fillId="40" borderId="14" xfId="1" applyFont="1" applyFill="1" applyBorder="1" applyAlignment="1">
      <alignment horizontal="right" vertical="center" wrapText="1" indent="1"/>
    </xf>
    <xf numFmtId="0" fontId="75" fillId="38" borderId="12" xfId="0" applyFont="1" applyFill="1" applyBorder="1" applyAlignment="1">
      <alignment horizontal="center" vertical="center" wrapText="1"/>
    </xf>
    <xf numFmtId="164" fontId="52" fillId="0" borderId="24" xfId="1" applyFont="1" applyFill="1" applyBorder="1" applyAlignment="1">
      <alignment horizontal="right" vertical="top" wrapText="1" indent="1"/>
    </xf>
    <xf numFmtId="164" fontId="43" fillId="0" borderId="21" xfId="1" applyFont="1" applyBorder="1" applyAlignment="1">
      <alignment horizontal="right" vertical="top" wrapText="1" indent="1"/>
    </xf>
    <xf numFmtId="0" fontId="52" fillId="0" borderId="63" xfId="0" applyFont="1" applyBorder="1" applyAlignment="1">
      <alignment horizontal="left" vertical="top" wrapText="1" indent="3"/>
    </xf>
    <xf numFmtId="164" fontId="44" fillId="0" borderId="0" xfId="1" applyFont="1" applyAlignment="1">
      <alignment horizontal="center"/>
    </xf>
    <xf numFmtId="164" fontId="74" fillId="0" borderId="0" xfId="1" applyFont="1" applyAlignment="1">
      <alignment horizontal="center"/>
    </xf>
    <xf numFmtId="164" fontId="77" fillId="0" borderId="0" xfId="1" applyFont="1" applyAlignment="1">
      <alignment horizontal="center" vertical="center"/>
    </xf>
    <xf numFmtId="164" fontId="25" fillId="0" borderId="0" xfId="1" applyFont="1" applyFill="1" applyAlignment="1">
      <alignment horizontal="center"/>
    </xf>
    <xf numFmtId="164" fontId="26" fillId="41" borderId="0" xfId="1" applyFont="1" applyFill="1" applyAlignment="1">
      <alignment horizontal="center" vertical="center"/>
    </xf>
    <xf numFmtId="164" fontId="44" fillId="0" borderId="0" xfId="1" applyFont="1" applyFill="1"/>
    <xf numFmtId="164" fontId="25" fillId="0" borderId="0" xfId="1" applyFont="1" applyFill="1" applyAlignment="1">
      <alignment horizontal="left"/>
    </xf>
    <xf numFmtId="164" fontId="83" fillId="0" borderId="0" xfId="1" applyFont="1" applyAlignment="1">
      <alignment horizontal="center" vertical="center"/>
    </xf>
    <xf numFmtId="164" fontId="26" fillId="0" borderId="0" xfId="1" applyFont="1" applyFill="1" applyAlignment="1">
      <alignment horizontal="center" vertical="top"/>
    </xf>
    <xf numFmtId="164" fontId="25" fillId="41" borderId="0" xfId="1" applyFont="1" applyFill="1" applyAlignment="1">
      <alignment horizontal="center" vertical="top"/>
    </xf>
    <xf numFmtId="164" fontId="25" fillId="41" borderId="0" xfId="1" applyFont="1" applyFill="1" applyAlignment="1">
      <alignment horizontal="center"/>
    </xf>
    <xf numFmtId="164" fontId="26" fillId="41" borderId="0" xfId="1" applyFont="1" applyFill="1" applyAlignment="1">
      <alignment horizontal="center"/>
    </xf>
    <xf numFmtId="164" fontId="25" fillId="40" borderId="0" xfId="1" applyFont="1" applyFill="1" applyAlignment="1">
      <alignment horizontal="center"/>
    </xf>
    <xf numFmtId="164" fontId="104" fillId="0" borderId="0" xfId="1" applyFont="1"/>
    <xf numFmtId="164" fontId="80" fillId="0" borderId="36" xfId="1" applyFont="1" applyFill="1" applyBorder="1" applyAlignment="1">
      <alignment horizontal="right" vertical="top" wrapText="1" indent="1"/>
    </xf>
    <xf numFmtId="164" fontId="72" fillId="50" borderId="24" xfId="1" applyFont="1" applyFill="1" applyBorder="1" applyAlignment="1">
      <alignment horizontal="right" vertical="top" wrapText="1" indent="1"/>
    </xf>
    <xf numFmtId="14" fontId="72" fillId="0" borderId="12" xfId="0" applyNumberFormat="1" applyFont="1" applyBorder="1" applyAlignment="1">
      <alignment horizontal="center" vertical="top" wrapText="1"/>
    </xf>
    <xf numFmtId="0" fontId="80" fillId="0" borderId="12" xfId="0" applyFont="1" applyBorder="1" applyAlignment="1">
      <alignment horizontal="center" vertical="top" wrapText="1"/>
    </xf>
    <xf numFmtId="164" fontId="80" fillId="0" borderId="0" xfId="1" applyFont="1" applyFill="1" applyBorder="1" applyAlignment="1">
      <alignment horizontal="right" vertical="top" wrapText="1" indent="1"/>
    </xf>
    <xf numFmtId="164" fontId="80" fillId="0" borderId="12" xfId="1" applyFont="1" applyFill="1" applyBorder="1" applyAlignment="1">
      <alignment horizontal="right" vertical="top" wrapText="1" indent="1"/>
    </xf>
    <xf numFmtId="164" fontId="80" fillId="0" borderId="41" xfId="1" applyFont="1" applyFill="1" applyBorder="1" applyAlignment="1">
      <alignment horizontal="right" vertical="top" wrapText="1" indent="1"/>
    </xf>
    <xf numFmtId="164" fontId="93" fillId="0" borderId="0" xfId="0" applyNumberFormat="1" applyFont="1" applyAlignment="1">
      <alignment vertical="top"/>
    </xf>
    <xf numFmtId="0" fontId="76" fillId="0" borderId="0" xfId="0" applyFont="1"/>
    <xf numFmtId="164" fontId="107" fillId="37" borderId="0" xfId="1" applyFont="1" applyFill="1" applyAlignment="1">
      <alignment horizontal="right"/>
    </xf>
    <xf numFmtId="164" fontId="79" fillId="41" borderId="11" xfId="1" applyFont="1" applyFill="1" applyBorder="1" applyAlignment="1">
      <alignment horizontal="right" vertical="top" wrapText="1" indent="1"/>
    </xf>
    <xf numFmtId="43" fontId="30" fillId="0" borderId="0" xfId="0" applyNumberFormat="1" applyFont="1" applyAlignment="1">
      <alignment vertical="top"/>
    </xf>
    <xf numFmtId="43" fontId="75" fillId="0" borderId="0" xfId="0" applyNumberFormat="1" applyFont="1" applyAlignment="1">
      <alignment vertical="top"/>
    </xf>
    <xf numFmtId="164" fontId="26" fillId="0" borderId="0" xfId="0" applyNumberFormat="1" applyFont="1" applyAlignment="1">
      <alignment vertical="top"/>
    </xf>
    <xf numFmtId="43" fontId="26" fillId="41" borderId="0" xfId="0" applyNumberFormat="1" applyFont="1" applyFill="1"/>
    <xf numFmtId="43" fontId="26" fillId="41" borderId="0" xfId="0" applyNumberFormat="1" applyFont="1" applyFill="1" applyAlignment="1">
      <alignment vertical="top"/>
    </xf>
    <xf numFmtId="164" fontId="108" fillId="0" borderId="0" xfId="1" applyFont="1" applyAlignment="1">
      <alignment horizontal="left" vertical="top"/>
    </xf>
    <xf numFmtId="43" fontId="26" fillId="0" borderId="0" xfId="0" applyNumberFormat="1" applyFont="1" applyAlignment="1">
      <alignment horizontal="left" vertical="top"/>
    </xf>
    <xf numFmtId="43" fontId="30" fillId="41" borderId="39" xfId="0" applyNumberFormat="1" applyFont="1" applyFill="1" applyBorder="1" applyAlignment="1">
      <alignment horizontal="left" vertical="top"/>
    </xf>
    <xf numFmtId="43" fontId="26" fillId="0" borderId="0" xfId="0" applyNumberFormat="1" applyFont="1" applyAlignment="1">
      <alignment vertical="top"/>
    </xf>
    <xf numFmtId="164" fontId="47" fillId="0" borderId="0" xfId="1" applyFont="1"/>
    <xf numFmtId="43" fontId="47" fillId="0" borderId="0" xfId="0" applyNumberFormat="1" applyFont="1" applyAlignment="1">
      <alignment horizontal="left" vertical="top"/>
    </xf>
    <xf numFmtId="164" fontId="30" fillId="0" borderId="0" xfId="1" applyFont="1" applyAlignment="1">
      <alignment vertical="top"/>
    </xf>
    <xf numFmtId="164" fontId="26" fillId="0" borderId="0" xfId="1" applyFont="1" applyAlignment="1">
      <alignment horizontal="left" vertical="top"/>
    </xf>
    <xf numFmtId="43" fontId="47" fillId="41" borderId="0" xfId="0" applyNumberFormat="1" applyFont="1" applyFill="1" applyAlignment="1">
      <alignment horizontal="left" vertical="top"/>
    </xf>
    <xf numFmtId="164" fontId="47" fillId="0" borderId="0" xfId="1" applyFont="1" applyAlignment="1">
      <alignment horizontal="left" vertical="top"/>
    </xf>
    <xf numFmtId="164" fontId="30" fillId="0" borderId="0" xfId="0" applyNumberFormat="1" applyFont="1" applyAlignment="1">
      <alignment horizontal="left" vertical="top"/>
    </xf>
    <xf numFmtId="43" fontId="26" fillId="41" borderId="0" xfId="0" applyNumberFormat="1" applyFont="1" applyFill="1" applyAlignment="1">
      <alignment horizontal="left" vertical="top"/>
    </xf>
    <xf numFmtId="164" fontId="26" fillId="41" borderId="0" xfId="0" applyNumberFormat="1" applyFont="1" applyFill="1" applyAlignment="1">
      <alignment horizontal="left" vertical="top"/>
    </xf>
    <xf numFmtId="164" fontId="108" fillId="41" borderId="0" xfId="1" applyFont="1" applyFill="1" applyAlignment="1">
      <alignment horizontal="left" vertical="top"/>
    </xf>
    <xf numFmtId="164" fontId="26" fillId="41" borderId="0" xfId="1" applyFont="1" applyFill="1" applyAlignment="1">
      <alignment horizontal="left" vertical="top"/>
    </xf>
    <xf numFmtId="164" fontId="72" fillId="0" borderId="80" xfId="1" applyFont="1" applyFill="1" applyBorder="1" applyAlignment="1">
      <alignment horizontal="right" vertical="top" wrapText="1" indent="1"/>
    </xf>
    <xf numFmtId="164" fontId="72" fillId="0" borderId="54" xfId="1" applyFont="1" applyFill="1" applyBorder="1" applyAlignment="1">
      <alignment vertical="top" wrapText="1" indent="1"/>
    </xf>
    <xf numFmtId="164" fontId="72" fillId="0" borderId="80" xfId="1" applyFont="1" applyFill="1" applyBorder="1" applyAlignment="1">
      <alignment vertical="top" wrapText="1" indent="1"/>
    </xf>
    <xf numFmtId="164" fontId="72" fillId="0" borderId="57" xfId="1" applyFont="1" applyFill="1" applyBorder="1" applyAlignment="1">
      <alignment vertical="top" wrapText="1" indent="1"/>
    </xf>
    <xf numFmtId="164" fontId="47" fillId="0" borderId="0" xfId="1" applyFont="1" applyAlignment="1">
      <alignment vertical="top"/>
    </xf>
    <xf numFmtId="43" fontId="44" fillId="0" borderId="0" xfId="0" applyNumberFormat="1" applyFont="1" applyAlignment="1">
      <alignment vertical="top"/>
    </xf>
    <xf numFmtId="164" fontId="72" fillId="0" borderId="0" xfId="1" applyFont="1" applyBorder="1" applyAlignment="1">
      <alignment vertical="top" wrapText="1" indent="2"/>
    </xf>
    <xf numFmtId="164" fontId="72" fillId="0" borderId="12" xfId="1" applyFont="1" applyBorder="1" applyAlignment="1">
      <alignment vertical="top" wrapText="1" indent="2"/>
    </xf>
    <xf numFmtId="164" fontId="72" fillId="0" borderId="25" xfId="1" applyFont="1" applyBorder="1" applyAlignment="1">
      <alignment horizontal="right" vertical="top" wrapText="1" indent="1"/>
    </xf>
    <xf numFmtId="164" fontId="72" fillId="0" borderId="19" xfId="1" applyFont="1" applyFill="1" applyBorder="1" applyAlignment="1">
      <alignment horizontal="center" vertical="center" wrapText="1"/>
    </xf>
    <xf numFmtId="164" fontId="72" fillId="0" borderId="24" xfId="1" applyFont="1" applyFill="1" applyBorder="1" applyAlignment="1">
      <alignment horizontal="center" vertical="center" wrapText="1"/>
    </xf>
    <xf numFmtId="164" fontId="72" fillId="0" borderId="38" xfId="1" applyFont="1" applyFill="1" applyBorder="1" applyAlignment="1">
      <alignment horizontal="right" vertical="top" wrapText="1" indent="1"/>
    </xf>
    <xf numFmtId="164" fontId="80" fillId="0" borderId="34" xfId="1" applyFont="1" applyFill="1" applyBorder="1" applyAlignment="1">
      <alignment vertical="top" wrapText="1" indent="1"/>
    </xf>
    <xf numFmtId="164" fontId="80" fillId="0" borderId="13" xfId="1" applyFont="1" applyFill="1" applyBorder="1" applyAlignment="1">
      <alignment horizontal="right" vertical="top" wrapText="1" indent="1"/>
    </xf>
    <xf numFmtId="164" fontId="80" fillId="0" borderId="25" xfId="1" applyFont="1" applyFill="1" applyBorder="1" applyAlignment="1">
      <alignment horizontal="right" vertical="top" wrapText="1" indent="1"/>
    </xf>
    <xf numFmtId="164" fontId="47" fillId="41" borderId="0" xfId="1" applyFont="1" applyFill="1"/>
    <xf numFmtId="0" fontId="109" fillId="40" borderId="11" xfId="0" applyFont="1" applyFill="1" applyBorder="1" applyAlignment="1">
      <alignment horizontal="center" vertical="center" wrapText="1"/>
    </xf>
    <xf numFmtId="164" fontId="79" fillId="0" borderId="34" xfId="1" applyFont="1" applyFill="1" applyBorder="1" applyAlignment="1">
      <alignment vertical="top" wrapText="1" indent="1"/>
    </xf>
    <xf numFmtId="164" fontId="79" fillId="0" borderId="32" xfId="1" applyFont="1" applyFill="1" applyBorder="1" applyAlignment="1">
      <alignment vertical="top" wrapText="1" indent="2"/>
    </xf>
    <xf numFmtId="164" fontId="80" fillId="0" borderId="26" xfId="1" applyFont="1" applyFill="1" applyBorder="1" applyAlignment="1">
      <alignment horizontal="right" vertical="top" wrapText="1" indent="1"/>
    </xf>
    <xf numFmtId="164" fontId="80" fillId="0" borderId="54" xfId="1" applyFont="1" applyFill="1" applyBorder="1" applyAlignment="1">
      <alignment horizontal="right" vertical="top" wrapText="1" indent="1"/>
    </xf>
    <xf numFmtId="164" fontId="80" fillId="37" borderId="32" xfId="1" applyFont="1" applyFill="1" applyBorder="1" applyAlignment="1">
      <alignment horizontal="right" vertical="top" wrapText="1" indent="1"/>
    </xf>
    <xf numFmtId="164" fontId="80" fillId="37" borderId="42" xfId="1" applyFont="1" applyFill="1" applyBorder="1" applyAlignment="1">
      <alignment horizontal="right" vertical="center" wrapText="1" indent="1"/>
    </xf>
    <xf numFmtId="164" fontId="80" fillId="37" borderId="13" xfId="1" applyFont="1" applyFill="1" applyBorder="1" applyAlignment="1">
      <alignment horizontal="right" vertical="top" wrapText="1" indent="1"/>
    </xf>
    <xf numFmtId="164" fontId="79" fillId="40" borderId="11" xfId="1" applyFont="1" applyFill="1" applyBorder="1" applyAlignment="1">
      <alignment horizontal="right" vertical="center" wrapText="1" indent="1"/>
    </xf>
    <xf numFmtId="164" fontId="108" fillId="0" borderId="0" xfId="1" applyFont="1" applyBorder="1"/>
    <xf numFmtId="164" fontId="81" fillId="0" borderId="23" xfId="1" applyFont="1" applyFill="1" applyBorder="1" applyAlignment="1">
      <alignment vertical="top" wrapText="1" indent="1"/>
    </xf>
    <xf numFmtId="164" fontId="79" fillId="0" borderId="23" xfId="1" applyFont="1" applyFill="1" applyBorder="1" applyAlignment="1">
      <alignment vertical="top" wrapText="1" indent="1"/>
    </xf>
    <xf numFmtId="43" fontId="108" fillId="0" borderId="0" xfId="0" applyNumberFormat="1" applyFont="1" applyAlignment="1">
      <alignment horizontal="left" vertical="top"/>
    </xf>
    <xf numFmtId="43" fontId="47" fillId="41" borderId="0" xfId="0" applyNumberFormat="1" applyFont="1" applyFill="1" applyAlignment="1">
      <alignment vertical="top"/>
    </xf>
    <xf numFmtId="0" fontId="47" fillId="41" borderId="0" xfId="0" applyFont="1" applyFill="1" applyAlignment="1">
      <alignment vertical="top"/>
    </xf>
    <xf numFmtId="164" fontId="47" fillId="0" borderId="0" xfId="0" applyNumberFormat="1" applyFont="1" applyAlignment="1">
      <alignment horizontal="left" vertical="top"/>
    </xf>
    <xf numFmtId="164" fontId="95" fillId="37" borderId="0" xfId="1" applyFont="1" applyFill="1" applyAlignment="1">
      <alignment horizontal="right"/>
    </xf>
    <xf numFmtId="164" fontId="72" fillId="0" borderId="81" xfId="1" applyFont="1" applyFill="1" applyBorder="1" applyAlignment="1">
      <alignment horizontal="right" vertical="top" wrapText="1" indent="1"/>
    </xf>
    <xf numFmtId="164" fontId="72" fillId="0" borderId="41" xfId="1" applyFont="1" applyBorder="1" applyAlignment="1">
      <alignment vertical="top" wrapText="1" indent="2"/>
    </xf>
    <xf numFmtId="164" fontId="25" fillId="50" borderId="0" xfId="1" applyFont="1" applyFill="1" applyAlignment="1">
      <alignment vertical="center"/>
    </xf>
    <xf numFmtId="0" fontId="72" fillId="0" borderId="31" xfId="0" applyFont="1" applyBorder="1" applyAlignment="1">
      <alignment horizontal="left" vertical="top" indent="4"/>
    </xf>
    <xf numFmtId="0" fontId="72" fillId="0" borderId="39" xfId="0" quotePrefix="1" applyFont="1" applyBorder="1" applyAlignment="1">
      <alignment horizontal="left" vertical="top" wrapText="1" indent="3"/>
    </xf>
    <xf numFmtId="164" fontId="25" fillId="0" borderId="0" xfId="0" applyNumberFormat="1" applyFont="1" applyAlignment="1">
      <alignment vertical="top"/>
    </xf>
    <xf numFmtId="43" fontId="93" fillId="50" borderId="0" xfId="0" applyNumberFormat="1" applyFont="1" applyFill="1"/>
    <xf numFmtId="43" fontId="91" fillId="50" borderId="0" xfId="0" applyNumberFormat="1" applyFont="1" applyFill="1"/>
    <xf numFmtId="164" fontId="48" fillId="0" borderId="24" xfId="1" applyFont="1" applyBorder="1" applyAlignment="1">
      <alignment horizontal="left" wrapText="1" indent="1"/>
    </xf>
    <xf numFmtId="0" fontId="72" fillId="0" borderId="39" xfId="0" applyFont="1" applyBorder="1" applyAlignment="1">
      <alignment vertical="top" wrapText="1" indent="4"/>
    </xf>
    <xf numFmtId="0" fontId="94" fillId="0" borderId="0" xfId="0" applyFont="1"/>
    <xf numFmtId="4" fontId="101" fillId="0" borderId="11" xfId="0" applyNumberFormat="1" applyFont="1" applyBorder="1"/>
    <xf numFmtId="0" fontId="101" fillId="0" borderId="11" xfId="0" applyFont="1" applyBorder="1" applyAlignment="1">
      <alignment horizontal="center"/>
    </xf>
    <xf numFmtId="4" fontId="94" fillId="0" borderId="0" xfId="0" applyNumberFormat="1" applyFont="1"/>
    <xf numFmtId="4" fontId="101" fillId="0" borderId="0" xfId="0" applyNumberFormat="1" applyFont="1"/>
    <xf numFmtId="4" fontId="101" fillId="0" borderId="0" xfId="0" quotePrefix="1" applyNumberFormat="1" applyFont="1"/>
    <xf numFmtId="4" fontId="110" fillId="0" borderId="0" xfId="0" applyNumberFormat="1" applyFont="1"/>
    <xf numFmtId="4" fontId="111" fillId="0" borderId="0" xfId="0" applyNumberFormat="1" applyFont="1"/>
    <xf numFmtId="0" fontId="111" fillId="0" borderId="0" xfId="0" applyFont="1"/>
    <xf numFmtId="4" fontId="94" fillId="0" borderId="11" xfId="0" applyNumberFormat="1" applyFont="1" applyBorder="1" applyAlignment="1">
      <alignment horizontal="left" indent="1"/>
    </xf>
    <xf numFmtId="4" fontId="101" fillId="0" borderId="0" xfId="0" applyNumberFormat="1" applyFont="1" applyAlignment="1">
      <alignment horizontal="right"/>
    </xf>
    <xf numFmtId="164" fontId="112" fillId="0" borderId="0" xfId="1" applyFont="1"/>
    <xf numFmtId="164" fontId="101" fillId="0" borderId="0" xfId="0" applyNumberFormat="1" applyFont="1" applyAlignment="1">
      <alignment horizontal="left" vertical="top"/>
    </xf>
    <xf numFmtId="0" fontId="30" fillId="0" borderId="31" xfId="0" applyFont="1" applyBorder="1" applyAlignment="1">
      <alignment horizontal="left" vertical="top" wrapText="1" indent="4"/>
    </xf>
    <xf numFmtId="164" fontId="26" fillId="0" borderId="0" xfId="1" applyFont="1" applyAlignment="1">
      <alignment vertical="top"/>
    </xf>
    <xf numFmtId="164" fontId="43" fillId="0" borderId="27" xfId="1" applyFont="1" applyBorder="1" applyAlignment="1">
      <alignment horizontal="right" vertical="top" wrapText="1" indent="1"/>
    </xf>
    <xf numFmtId="0" fontId="75" fillId="38" borderId="46" xfId="0" applyFont="1" applyFill="1" applyBorder="1" applyAlignment="1">
      <alignment horizontal="center" vertical="center" wrapText="1"/>
    </xf>
    <xf numFmtId="0" fontId="76" fillId="40" borderId="46" xfId="0" applyFont="1" applyFill="1" applyBorder="1" applyAlignment="1">
      <alignment horizontal="center" vertical="center" wrapText="1"/>
    </xf>
    <xf numFmtId="164" fontId="43" fillId="0" borderId="72" xfId="1" applyFont="1" applyBorder="1" applyAlignment="1">
      <alignment vertical="top" wrapText="1" indent="2"/>
    </xf>
    <xf numFmtId="164" fontId="43" fillId="34" borderId="82" xfId="1" applyFont="1" applyFill="1" applyBorder="1" applyAlignment="1">
      <alignment vertical="top" wrapText="1" indent="1"/>
    </xf>
    <xf numFmtId="164" fontId="48" fillId="0" borderId="40" xfId="1" applyFont="1" applyBorder="1" applyAlignment="1">
      <alignment horizontal="right" vertical="top" wrapText="1" indent="1"/>
    </xf>
    <xf numFmtId="164" fontId="48" fillId="0" borderId="48" xfId="1" applyFont="1" applyBorder="1" applyAlignment="1">
      <alignment horizontal="right" vertical="top" wrapText="1" indent="1"/>
    </xf>
    <xf numFmtId="164" fontId="48" fillId="34" borderId="82" xfId="1" applyFont="1" applyFill="1" applyBorder="1" applyAlignment="1">
      <alignment horizontal="right" vertical="top" wrapText="1" indent="1"/>
    </xf>
    <xf numFmtId="164" fontId="48" fillId="0" borderId="73" xfId="1" applyFont="1" applyBorder="1" applyAlignment="1">
      <alignment horizontal="right" vertical="top" wrapText="1" indent="1"/>
    </xf>
    <xf numFmtId="164" fontId="48" fillId="0" borderId="40" xfId="1" applyFont="1" applyFill="1" applyBorder="1" applyAlignment="1">
      <alignment horizontal="right" vertical="top" wrapText="1" indent="1"/>
    </xf>
    <xf numFmtId="164" fontId="48" fillId="0" borderId="72" xfId="1" applyFont="1" applyBorder="1" applyAlignment="1">
      <alignment horizontal="left" wrapText="1" indent="1"/>
    </xf>
    <xf numFmtId="164" fontId="43" fillId="0" borderId="82" xfId="1" applyFont="1" applyBorder="1" applyAlignment="1">
      <alignment vertical="top" wrapText="1" indent="2"/>
    </xf>
    <xf numFmtId="164" fontId="43" fillId="34" borderId="72" xfId="1" applyFont="1" applyFill="1" applyBorder="1" applyAlignment="1">
      <alignment vertical="top" wrapText="1" indent="2"/>
    </xf>
    <xf numFmtId="164" fontId="48" fillId="0" borderId="83" xfId="1" applyFont="1" applyBorder="1" applyAlignment="1">
      <alignment horizontal="right" vertical="top" wrapText="1" indent="1"/>
    </xf>
    <xf numFmtId="164" fontId="43" fillId="0" borderId="27" xfId="1" applyFont="1" applyFill="1" applyBorder="1" applyAlignment="1">
      <alignment horizontal="right" vertical="top" wrapText="1" indent="1"/>
    </xf>
    <xf numFmtId="0" fontId="86" fillId="43" borderId="47" xfId="0" applyFont="1" applyFill="1" applyBorder="1" applyAlignment="1">
      <alignment horizontal="center" wrapText="1"/>
    </xf>
    <xf numFmtId="164" fontId="30" fillId="34" borderId="44" xfId="1" applyFont="1" applyFill="1" applyBorder="1" applyAlignment="1">
      <alignment vertical="top" wrapText="1" indent="1"/>
    </xf>
    <xf numFmtId="164" fontId="30" fillId="0" borderId="41" xfId="1" applyFont="1" applyBorder="1" applyAlignment="1">
      <alignment vertical="top" wrapText="1" indent="2"/>
    </xf>
    <xf numFmtId="164" fontId="72" fillId="0" borderId="49" xfId="1" applyFont="1" applyBorder="1" applyAlignment="1">
      <alignment horizontal="right" vertical="top" wrapText="1" indent="1"/>
    </xf>
    <xf numFmtId="43" fontId="72" fillId="0" borderId="41" xfId="0" applyNumberFormat="1" applyFont="1" applyBorder="1"/>
    <xf numFmtId="43" fontId="72" fillId="0" borderId="41" xfId="0" applyNumberFormat="1" applyFont="1" applyBorder="1" applyAlignment="1">
      <alignment vertical="top"/>
    </xf>
    <xf numFmtId="164" fontId="43" fillId="34" borderId="44" xfId="1" applyFont="1" applyFill="1" applyBorder="1" applyAlignment="1">
      <alignment vertical="top" wrapText="1" indent="1"/>
    </xf>
    <xf numFmtId="0" fontId="76" fillId="40" borderId="14" xfId="0" applyFont="1" applyFill="1" applyBorder="1" applyAlignment="1">
      <alignment horizontal="center" vertical="center" wrapText="1"/>
    </xf>
    <xf numFmtId="164" fontId="43" fillId="0" borderId="81" xfId="1" applyFont="1" applyBorder="1" applyAlignment="1">
      <alignment vertical="top" wrapText="1" indent="2"/>
    </xf>
    <xf numFmtId="164" fontId="48" fillId="0" borderId="81" xfId="1" applyFont="1" applyBorder="1" applyAlignment="1">
      <alignment horizontal="right" vertical="top" wrapText="1" indent="1"/>
    </xf>
    <xf numFmtId="164" fontId="43" fillId="34" borderId="86" xfId="1" applyFont="1" applyFill="1" applyBorder="1" applyAlignment="1">
      <alignment vertical="top" wrapText="1" indent="1"/>
    </xf>
    <xf numFmtId="164" fontId="48" fillId="34" borderId="86" xfId="1" applyFont="1" applyFill="1" applyBorder="1" applyAlignment="1">
      <alignment horizontal="right" vertical="top" wrapText="1" indent="1"/>
    </xf>
    <xf numFmtId="164" fontId="48" fillId="0" borderId="87" xfId="1" applyFont="1" applyBorder="1" applyAlignment="1">
      <alignment horizontal="right" vertical="top" wrapText="1" indent="1"/>
    </xf>
    <xf numFmtId="164" fontId="48" fillId="0" borderId="42" xfId="1" applyFont="1" applyFill="1" applyBorder="1" applyAlignment="1">
      <alignment horizontal="right" vertical="top" wrapText="1" indent="1"/>
    </xf>
    <xf numFmtId="164" fontId="48" fillId="0" borderId="81" xfId="1" applyFont="1" applyBorder="1" applyAlignment="1">
      <alignment horizontal="left" wrapText="1" indent="1"/>
    </xf>
    <xf numFmtId="164" fontId="43" fillId="0" borderId="86" xfId="1" applyFont="1" applyBorder="1" applyAlignment="1">
      <alignment vertical="top" wrapText="1" indent="2"/>
    </xf>
    <xf numFmtId="164" fontId="43" fillId="0" borderId="87" xfId="1" applyFont="1" applyBorder="1" applyAlignment="1">
      <alignment horizontal="right" vertical="top" wrapText="1" indent="1"/>
    </xf>
    <xf numFmtId="164" fontId="43" fillId="34" borderId="81" xfId="1" applyFont="1" applyFill="1" applyBorder="1" applyAlignment="1">
      <alignment vertical="top" wrapText="1" indent="2"/>
    </xf>
    <xf numFmtId="164" fontId="48" fillId="0" borderId="88" xfId="1" applyFont="1" applyBorder="1" applyAlignment="1">
      <alignment horizontal="right" vertical="top" wrapText="1" indent="1"/>
    </xf>
    <xf numFmtId="0" fontId="30" fillId="48" borderId="26" xfId="0" applyFont="1" applyFill="1" applyBorder="1" applyAlignment="1">
      <alignment horizontal="left" vertical="top" wrapText="1" indent="1"/>
    </xf>
    <xf numFmtId="0" fontId="65" fillId="0" borderId="24" xfId="0" applyFont="1" applyBorder="1" applyAlignment="1">
      <alignment horizontal="left" vertical="top" wrapText="1" indent="1"/>
    </xf>
    <xf numFmtId="0" fontId="72" fillId="0" borderId="24" xfId="0" applyFont="1" applyBorder="1" applyAlignment="1">
      <alignment horizontal="left" vertical="top" wrapText="1" indent="1"/>
    </xf>
    <xf numFmtId="0" fontId="72" fillId="0" borderId="24" xfId="0" applyFont="1" applyBorder="1" applyAlignment="1">
      <alignment horizontal="left" vertical="top" wrapText="1" indent="2"/>
    </xf>
    <xf numFmtId="0" fontId="72" fillId="0" borderId="27" xfId="0" applyFont="1" applyBorder="1" applyAlignment="1">
      <alignment horizontal="left" vertical="top" wrapText="1" indent="1"/>
    </xf>
    <xf numFmtId="0" fontId="72" fillId="0" borderId="12" xfId="0" applyFont="1" applyBorder="1" applyAlignment="1">
      <alignment horizontal="left" vertical="top" wrapText="1" indent="1"/>
    </xf>
    <xf numFmtId="0" fontId="30" fillId="48" borderId="26" xfId="0" applyFont="1" applyFill="1" applyBorder="1" applyAlignment="1">
      <alignment vertical="top" wrapText="1" indent="1"/>
    </xf>
    <xf numFmtId="0" fontId="51" fillId="48" borderId="26" xfId="0" applyFont="1" applyFill="1" applyBorder="1" applyAlignment="1">
      <alignment vertical="top" wrapText="1" indent="1"/>
    </xf>
    <xf numFmtId="0" fontId="43" fillId="34" borderId="26" xfId="0" applyFont="1" applyFill="1" applyBorder="1" applyAlignment="1">
      <alignment horizontal="left" vertical="top" wrapText="1" indent="1"/>
    </xf>
    <xf numFmtId="0" fontId="43" fillId="48" borderId="26" xfId="0" applyFont="1" applyFill="1" applyBorder="1" applyAlignment="1">
      <alignment vertical="top" wrapText="1" indent="1"/>
    </xf>
    <xf numFmtId="0" fontId="48" fillId="0" borderId="24" xfId="0" applyFont="1" applyBorder="1" applyAlignment="1">
      <alignment horizontal="left" vertical="top" wrapText="1" indent="2"/>
    </xf>
    <xf numFmtId="0" fontId="43" fillId="34" borderId="24" xfId="0" applyFont="1" applyFill="1" applyBorder="1" applyAlignment="1">
      <alignment vertical="top" wrapText="1" indent="2"/>
    </xf>
    <xf numFmtId="0" fontId="48" fillId="0" borderId="62" xfId="0" applyFont="1" applyBorder="1" applyAlignment="1">
      <alignment horizontal="left" vertical="top" wrapText="1" indent="2"/>
    </xf>
    <xf numFmtId="0" fontId="87" fillId="0" borderId="24" xfId="0" applyFont="1" applyBorder="1" applyAlignment="1">
      <alignment horizontal="left" vertical="top" wrapText="1" indent="1"/>
    </xf>
    <xf numFmtId="0" fontId="30" fillId="0" borderId="27" xfId="0" applyFont="1" applyBorder="1" applyAlignment="1">
      <alignment horizontal="left" vertical="top" wrapText="1" indent="1"/>
    </xf>
    <xf numFmtId="0" fontId="48" fillId="0" borderId="24" xfId="0" applyFont="1" applyBorder="1" applyAlignment="1">
      <alignment horizontal="left" vertical="top" wrapText="1" indent="1"/>
    </xf>
    <xf numFmtId="0" fontId="43" fillId="0" borderId="24" xfId="0" applyFont="1" applyBorder="1" applyAlignment="1">
      <alignment horizontal="left" vertical="top" wrapText="1" indent="1"/>
    </xf>
    <xf numFmtId="0" fontId="48" fillId="0" borderId="27" xfId="0" applyFont="1" applyBorder="1" applyAlignment="1">
      <alignment horizontal="left" vertical="top" wrapText="1" indent="1"/>
    </xf>
    <xf numFmtId="0" fontId="52" fillId="0" borderId="24" xfId="0" applyFont="1" applyBorder="1" applyAlignment="1">
      <alignment horizontal="left" vertical="top" wrapText="1" indent="1"/>
    </xf>
    <xf numFmtId="0" fontId="48" fillId="0" borderId="26" xfId="0" applyFont="1" applyBorder="1" applyAlignment="1">
      <alignment horizontal="left" vertical="top" wrapText="1" indent="1"/>
    </xf>
    <xf numFmtId="0" fontId="48" fillId="0" borderId="12" xfId="0" applyFont="1" applyBorder="1" applyAlignment="1">
      <alignment horizontal="left" vertical="top" wrapText="1" indent="1"/>
    </xf>
    <xf numFmtId="0" fontId="48" fillId="0" borderId="24" xfId="0" quotePrefix="1" applyFont="1" applyBorder="1" applyAlignment="1">
      <alignment horizontal="left" vertical="top" wrapText="1" indent="1"/>
    </xf>
    <xf numFmtId="0" fontId="48" fillId="0" borderId="26" xfId="0" quotePrefix="1" applyFont="1" applyBorder="1" applyAlignment="1">
      <alignment horizontal="left" vertical="top" wrapText="1" indent="1"/>
    </xf>
    <xf numFmtId="164" fontId="30" fillId="0" borderId="0" xfId="1" applyFont="1" applyFill="1" applyBorder="1" applyAlignment="1">
      <alignment vertical="top" wrapText="1" indent="2"/>
    </xf>
    <xf numFmtId="164" fontId="43" fillId="0" borderId="26" xfId="1" applyFont="1" applyFill="1" applyBorder="1" applyAlignment="1">
      <alignment horizontal="right" vertical="top" wrapText="1" indent="1"/>
    </xf>
    <xf numFmtId="0" fontId="43" fillId="48" borderId="26" xfId="0" applyFont="1" applyFill="1" applyBorder="1" applyAlignment="1">
      <alignment horizontal="left" vertical="top" wrapText="1" indent="1"/>
    </xf>
    <xf numFmtId="164" fontId="48" fillId="0" borderId="12" xfId="1" applyFont="1" applyFill="1" applyBorder="1" applyAlignment="1">
      <alignment horizontal="right" vertical="top" wrapText="1" indent="1"/>
    </xf>
    <xf numFmtId="0" fontId="43" fillId="34" borderId="24" xfId="0" applyFont="1" applyFill="1" applyBorder="1" applyAlignment="1">
      <alignment horizontal="left" vertical="top" wrapText="1" indent="2"/>
    </xf>
    <xf numFmtId="164" fontId="48" fillId="0" borderId="90" xfId="1" applyFont="1" applyBorder="1" applyAlignment="1">
      <alignment vertical="top" wrapText="1" indent="2"/>
    </xf>
    <xf numFmtId="164" fontId="48" fillId="0" borderId="25" xfId="1" applyFont="1" applyBorder="1" applyAlignment="1">
      <alignment vertical="top" wrapText="1" indent="2"/>
    </xf>
    <xf numFmtId="164" fontId="48" fillId="0" borderId="91" xfId="1" applyFont="1" applyBorder="1" applyAlignment="1">
      <alignment horizontal="right" vertical="top" wrapText="1" indent="1"/>
    </xf>
    <xf numFmtId="0" fontId="48" fillId="37" borderId="24" xfId="0" applyFont="1" applyFill="1" applyBorder="1" applyAlignment="1">
      <alignment horizontal="left" vertical="top" wrapText="1" indent="2"/>
    </xf>
    <xf numFmtId="0" fontId="48" fillId="37" borderId="24" xfId="0" quotePrefix="1" applyFont="1" applyFill="1" applyBorder="1" applyAlignment="1">
      <alignment horizontal="left" vertical="top" wrapText="1" indent="2"/>
    </xf>
    <xf numFmtId="0" fontId="52" fillId="0" borderId="25" xfId="0" applyFont="1" applyBorder="1" applyAlignment="1">
      <alignment horizontal="left" vertical="top" wrapText="1" indent="2"/>
    </xf>
    <xf numFmtId="164" fontId="72" fillId="0" borderId="23" xfId="1" applyFont="1" applyBorder="1" applyAlignment="1">
      <alignment horizontal="right" vertical="top" wrapText="1" indent="1"/>
    </xf>
    <xf numFmtId="164" fontId="43" fillId="34" borderId="23" xfId="1" applyFont="1" applyFill="1" applyBorder="1" applyAlignment="1">
      <alignment vertical="top" wrapText="1" indent="1"/>
    </xf>
    <xf numFmtId="164" fontId="43" fillId="34" borderId="12" xfId="1" applyFont="1" applyFill="1" applyBorder="1" applyAlignment="1">
      <alignment vertical="top" wrapText="1" indent="1"/>
    </xf>
    <xf numFmtId="164" fontId="43" fillId="0" borderId="12" xfId="1" applyFont="1" applyBorder="1" applyAlignment="1">
      <alignment vertical="top" wrapText="1" indent="2"/>
    </xf>
    <xf numFmtId="0" fontId="44" fillId="0" borderId="39" xfId="0" applyFont="1" applyBorder="1" applyAlignment="1">
      <alignment vertical="top"/>
    </xf>
    <xf numFmtId="0" fontId="48" fillId="0" borderId="27" xfId="0" applyFont="1" applyBorder="1" applyAlignment="1">
      <alignment horizontal="left" wrapText="1" indent="1"/>
    </xf>
    <xf numFmtId="164" fontId="48" fillId="0" borderId="31" xfId="1" applyFont="1" applyBorder="1" applyAlignment="1">
      <alignment horizontal="left" vertical="top" wrapText="1" indent="2"/>
    </xf>
    <xf numFmtId="0" fontId="48" fillId="0" borderId="0" xfId="0" applyFont="1" applyAlignment="1">
      <alignment horizontal="left" indent="1"/>
    </xf>
    <xf numFmtId="164" fontId="48" fillId="34" borderId="33" xfId="1" applyFont="1" applyFill="1" applyBorder="1" applyAlignment="1">
      <alignment horizontal="left" vertical="top" wrapText="1" indent="2"/>
    </xf>
    <xf numFmtId="164" fontId="48" fillId="0" borderId="24" xfId="1" applyFont="1" applyBorder="1" applyAlignment="1">
      <alignment horizontal="left" vertical="top" wrapText="1" indent="2"/>
    </xf>
    <xf numFmtId="164" fontId="48" fillId="0" borderId="27" xfId="1" applyFont="1" applyBorder="1" applyAlignment="1">
      <alignment horizontal="left" vertical="top" wrapText="1" indent="2"/>
    </xf>
    <xf numFmtId="164" fontId="48" fillId="0" borderId="35" xfId="1" applyFont="1" applyBorder="1" applyAlignment="1">
      <alignment horizontal="left" vertical="top" wrapText="1" indent="2"/>
    </xf>
    <xf numFmtId="164" fontId="48" fillId="0" borderId="31" xfId="1" applyFont="1" applyBorder="1" applyAlignment="1">
      <alignment horizontal="left" vertical="top" wrapText="1" indent="3"/>
    </xf>
    <xf numFmtId="164" fontId="48" fillId="0" borderId="24" xfId="1" applyFont="1" applyFill="1" applyBorder="1" applyAlignment="1">
      <alignment horizontal="left" vertical="top" wrapText="1" indent="2"/>
    </xf>
    <xf numFmtId="164" fontId="48" fillId="0" borderId="40" xfId="1" applyFont="1" applyBorder="1" applyAlignment="1">
      <alignment horizontal="left" vertical="top" wrapText="1" indent="2"/>
    </xf>
    <xf numFmtId="164" fontId="48" fillId="0" borderId="43" xfId="1" applyFont="1" applyBorder="1" applyAlignment="1">
      <alignment horizontal="left" vertical="top" wrapText="1" indent="2"/>
    </xf>
    <xf numFmtId="164" fontId="48" fillId="0" borderId="31" xfId="1" applyFont="1" applyBorder="1" applyAlignment="1">
      <alignment horizontal="left" wrapText="1" indent="2"/>
    </xf>
    <xf numFmtId="164" fontId="48" fillId="0" borderId="39" xfId="1" applyFont="1" applyBorder="1" applyAlignment="1">
      <alignment horizontal="left" vertical="top" wrapText="1" indent="2"/>
    </xf>
    <xf numFmtId="164" fontId="48" fillId="0" borderId="33" xfId="1" applyFont="1" applyBorder="1" applyAlignment="1">
      <alignment horizontal="left" vertical="top" wrapText="1" indent="3"/>
    </xf>
    <xf numFmtId="164" fontId="48" fillId="34" borderId="31" xfId="1" applyFont="1" applyFill="1" applyBorder="1" applyAlignment="1">
      <alignment horizontal="left" vertical="top" wrapText="1" indent="3"/>
    </xf>
    <xf numFmtId="0" fontId="44" fillId="0" borderId="0" xfId="0" applyFont="1" applyAlignment="1">
      <alignment horizontal="left" indent="1"/>
    </xf>
    <xf numFmtId="164" fontId="48" fillId="0" borderId="24" xfId="1" applyFont="1" applyBorder="1" applyAlignment="1">
      <alignment horizontal="left" vertical="top" wrapText="1" indent="3"/>
    </xf>
    <xf numFmtId="164" fontId="48" fillId="0" borderId="40" xfId="1" applyFont="1" applyBorder="1" applyAlignment="1">
      <alignment horizontal="left" vertical="top" wrapText="1" indent="3"/>
    </xf>
    <xf numFmtId="164" fontId="48" fillId="0" borderId="39" xfId="1" applyFont="1" applyBorder="1" applyAlignment="1">
      <alignment horizontal="left" vertical="top" wrapText="1" indent="3"/>
    </xf>
    <xf numFmtId="164" fontId="48" fillId="0" borderId="31" xfId="1" applyFont="1" applyBorder="1" applyAlignment="1">
      <alignment horizontal="left" vertical="top" wrapText="1"/>
    </xf>
    <xf numFmtId="0" fontId="113" fillId="40" borderId="11" xfId="0" applyFont="1" applyFill="1" applyBorder="1" applyAlignment="1">
      <alignment horizontal="center" vertical="center" wrapText="1"/>
    </xf>
    <xf numFmtId="0" fontId="57" fillId="43" borderId="11" xfId="0" applyFont="1" applyFill="1" applyBorder="1" applyAlignment="1">
      <alignment horizontal="left" wrapText="1" indent="1"/>
    </xf>
    <xf numFmtId="164" fontId="48" fillId="34" borderId="33" xfId="1" applyFont="1" applyFill="1" applyBorder="1" applyAlignment="1">
      <alignment horizontal="left" vertical="top" wrapText="1"/>
    </xf>
    <xf numFmtId="164" fontId="48" fillId="0" borderId="31" xfId="1" applyFont="1" applyFill="1" applyBorder="1" applyAlignment="1">
      <alignment horizontal="left" vertical="top" wrapText="1"/>
    </xf>
    <xf numFmtId="164" fontId="48" fillId="0" borderId="35" xfId="1" applyFont="1" applyBorder="1" applyAlignment="1">
      <alignment horizontal="left" vertical="top" wrapText="1"/>
    </xf>
    <xf numFmtId="164" fontId="48" fillId="0" borderId="24" xfId="1" applyFont="1" applyBorder="1" applyAlignment="1">
      <alignment horizontal="left" vertical="top" wrapText="1"/>
    </xf>
    <xf numFmtId="164" fontId="48" fillId="0" borderId="40" xfId="1" applyFont="1" applyBorder="1" applyAlignment="1">
      <alignment horizontal="left" vertical="top" wrapText="1"/>
    </xf>
    <xf numFmtId="164" fontId="48" fillId="0" borderId="24" xfId="1" applyFont="1" applyFill="1" applyBorder="1" applyAlignment="1">
      <alignment horizontal="left" vertical="top" wrapText="1"/>
    </xf>
    <xf numFmtId="164" fontId="48" fillId="0" borderId="27" xfId="1" applyFont="1" applyBorder="1" applyAlignment="1">
      <alignment horizontal="left" vertical="top" wrapText="1"/>
    </xf>
    <xf numFmtId="164" fontId="48" fillId="0" borderId="77" xfId="1" applyFont="1" applyBorder="1" applyAlignment="1">
      <alignment horizontal="left" vertical="top" wrapText="1"/>
    </xf>
    <xf numFmtId="164" fontId="48" fillId="34" borderId="31" xfId="1" applyFont="1" applyFill="1" applyBorder="1" applyAlignment="1">
      <alignment horizontal="left" vertical="top" wrapText="1" indent="1"/>
    </xf>
    <xf numFmtId="164" fontId="48" fillId="0" borderId="63" xfId="1" applyFont="1" applyBorder="1" applyAlignment="1">
      <alignment horizontal="left" vertical="top" wrapText="1"/>
    </xf>
    <xf numFmtId="164" fontId="48" fillId="53" borderId="11" xfId="1" applyFont="1" applyFill="1" applyBorder="1" applyAlignment="1">
      <alignment horizontal="left" vertical="top" wrapText="1" indent="2"/>
    </xf>
    <xf numFmtId="0" fontId="30" fillId="53" borderId="11" xfId="0" applyFont="1" applyFill="1" applyBorder="1" applyAlignment="1">
      <alignment horizontal="left" vertical="top" wrapText="1" indent="1"/>
    </xf>
    <xf numFmtId="164" fontId="30" fillId="53" borderId="47" xfId="1" applyFont="1" applyFill="1" applyBorder="1" applyAlignment="1">
      <alignment horizontal="right" vertical="top" wrapText="1" indent="1"/>
    </xf>
    <xf numFmtId="164" fontId="30" fillId="53" borderId="11" xfId="1" applyFont="1" applyFill="1" applyBorder="1" applyAlignment="1">
      <alignment horizontal="right" vertical="top" wrapText="1" indent="1"/>
    </xf>
    <xf numFmtId="164" fontId="30" fillId="53" borderId="14" xfId="1" applyFont="1" applyFill="1" applyBorder="1" applyAlignment="1">
      <alignment horizontal="right" vertical="top" wrapText="1" indent="1"/>
    </xf>
    <xf numFmtId="0" fontId="43" fillId="53" borderId="11" xfId="0" applyFont="1" applyFill="1" applyBorder="1" applyAlignment="1">
      <alignment horizontal="left" vertical="top" wrapText="1" indent="1"/>
    </xf>
    <xf numFmtId="164" fontId="43" fillId="53" borderId="14" xfId="1" applyFont="1" applyFill="1" applyBorder="1" applyAlignment="1">
      <alignment horizontal="right" vertical="top" wrapText="1" indent="1"/>
    </xf>
    <xf numFmtId="164" fontId="48" fillId="51" borderId="31" xfId="1" applyFont="1" applyFill="1" applyBorder="1" applyAlignment="1">
      <alignment horizontal="left" vertical="top" wrapText="1"/>
    </xf>
    <xf numFmtId="0" fontId="65" fillId="51" borderId="24" xfId="0" applyFont="1" applyFill="1" applyBorder="1" applyAlignment="1">
      <alignment horizontal="left" vertical="top" wrapText="1" indent="1"/>
    </xf>
    <xf numFmtId="164" fontId="72" fillId="51" borderId="41" xfId="1" applyFont="1" applyFill="1" applyBorder="1" applyAlignment="1">
      <alignment horizontal="right" vertical="top" wrapText="1" indent="1"/>
    </xf>
    <xf numFmtId="164" fontId="72" fillId="51" borderId="24" xfId="1" applyFont="1" applyFill="1" applyBorder="1" applyAlignment="1">
      <alignment horizontal="right" vertical="top" wrapText="1" indent="1"/>
    </xf>
    <xf numFmtId="164" fontId="48" fillId="51" borderId="31" xfId="1" applyFont="1" applyFill="1" applyBorder="1" applyAlignment="1">
      <alignment horizontal="left" vertical="top" wrapText="1" indent="2"/>
    </xf>
    <xf numFmtId="0" fontId="72" fillId="51" borderId="24" xfId="0" applyFont="1" applyFill="1" applyBorder="1" applyAlignment="1">
      <alignment horizontal="left" vertical="top" wrapText="1" indent="1"/>
    </xf>
    <xf numFmtId="164" fontId="48" fillId="51" borderId="24" xfId="1" applyFont="1" applyFill="1" applyBorder="1" applyAlignment="1">
      <alignment horizontal="left" vertical="top" wrapText="1" indent="2"/>
    </xf>
    <xf numFmtId="43" fontId="72" fillId="51" borderId="41" xfId="0" applyNumberFormat="1" applyFont="1" applyFill="1" applyBorder="1"/>
    <xf numFmtId="164" fontId="48" fillId="51" borderId="33" xfId="1" applyFont="1" applyFill="1" applyBorder="1" applyAlignment="1">
      <alignment horizontal="left" vertical="top" wrapText="1" indent="2"/>
    </xf>
    <xf numFmtId="0" fontId="48" fillId="51" borderId="26" xfId="0" applyFont="1" applyFill="1" applyBorder="1" applyAlignment="1">
      <alignment horizontal="left" vertical="top" wrapText="1" indent="1"/>
    </xf>
    <xf numFmtId="164" fontId="48" fillId="51" borderId="44" xfId="1" applyFont="1" applyFill="1" applyBorder="1" applyAlignment="1">
      <alignment horizontal="right" vertical="top" wrapText="1" indent="1"/>
    </xf>
    <xf numFmtId="164" fontId="48" fillId="51" borderId="26" xfId="1" applyFont="1" applyFill="1" applyBorder="1" applyAlignment="1">
      <alignment horizontal="right" vertical="top" wrapText="1" indent="1"/>
    </xf>
    <xf numFmtId="0" fontId="48" fillId="51" borderId="24" xfId="0" applyFont="1" applyFill="1" applyBorder="1" applyAlignment="1">
      <alignment horizontal="left" vertical="top" wrapText="1" indent="1"/>
    </xf>
    <xf numFmtId="164" fontId="48" fillId="51" borderId="41" xfId="1" applyFont="1" applyFill="1" applyBorder="1" applyAlignment="1">
      <alignment horizontal="right" vertical="top" wrapText="1" indent="1"/>
    </xf>
    <xf numFmtId="164" fontId="48" fillId="51" borderId="24" xfId="1" applyFont="1" applyFill="1" applyBorder="1" applyAlignment="1">
      <alignment horizontal="right" vertical="top" wrapText="1" indent="1"/>
    </xf>
    <xf numFmtId="0" fontId="63" fillId="51" borderId="24" xfId="0" applyFont="1" applyFill="1" applyBorder="1" applyAlignment="1">
      <alignment horizontal="left" vertical="top" wrapText="1" indent="1"/>
    </xf>
    <xf numFmtId="0" fontId="43" fillId="51" borderId="24" xfId="0" applyFont="1" applyFill="1" applyBorder="1" applyAlignment="1">
      <alignment horizontal="left" vertical="top" wrapText="1" indent="1"/>
    </xf>
    <xf numFmtId="0" fontId="55" fillId="51" borderId="24" xfId="0" applyFont="1" applyFill="1" applyBorder="1" applyAlignment="1">
      <alignment horizontal="left" vertical="top" wrapText="1" indent="1"/>
    </xf>
    <xf numFmtId="164" fontId="48" fillId="51" borderId="81" xfId="1" applyFont="1" applyFill="1" applyBorder="1" applyAlignment="1">
      <alignment horizontal="right" vertical="top" wrapText="1" indent="1"/>
    </xf>
    <xf numFmtId="164" fontId="48" fillId="51" borderId="72" xfId="1" applyFont="1" applyFill="1" applyBorder="1" applyAlignment="1">
      <alignment horizontal="right" vertical="top" wrapText="1" indent="1"/>
    </xf>
    <xf numFmtId="164" fontId="48" fillId="51" borderId="35" xfId="1" applyFont="1" applyFill="1" applyBorder="1" applyAlignment="1">
      <alignment horizontal="left" vertical="top" wrapText="1" indent="2"/>
    </xf>
    <xf numFmtId="0" fontId="62" fillId="51" borderId="24" xfId="0" applyFont="1" applyFill="1" applyBorder="1" applyAlignment="1">
      <alignment horizontal="left" vertical="top" wrapText="1" indent="1"/>
    </xf>
    <xf numFmtId="164" fontId="48" fillId="51" borderId="87" xfId="1" applyFont="1" applyFill="1" applyBorder="1" applyAlignment="1">
      <alignment horizontal="right" vertical="top" wrapText="1" indent="1"/>
    </xf>
    <xf numFmtId="164" fontId="48" fillId="51" borderId="27" xfId="1" applyFont="1" applyFill="1" applyBorder="1" applyAlignment="1">
      <alignment horizontal="right" vertical="top" wrapText="1" indent="1"/>
    </xf>
    <xf numFmtId="0" fontId="72" fillId="0" borderId="39" xfId="0" applyFont="1" applyBorder="1" applyAlignment="1">
      <alignment horizontal="left" vertical="top" wrapText="1" indent="3"/>
    </xf>
    <xf numFmtId="0" fontId="72" fillId="0" borderId="31" xfId="0" applyFont="1" applyBorder="1" applyAlignment="1">
      <alignment horizontal="left" vertical="top" wrapText="1" indent="2"/>
    </xf>
    <xf numFmtId="0" fontId="87" fillId="0" borderId="31" xfId="0" applyFont="1" applyBorder="1" applyAlignment="1">
      <alignment horizontal="left" vertical="top" wrapText="1" indent="1"/>
    </xf>
    <xf numFmtId="0" fontId="72" fillId="0" borderId="39" xfId="0" applyFont="1" applyBorder="1" applyAlignment="1">
      <alignment horizontal="left" vertical="top" wrapText="1" indent="2"/>
    </xf>
    <xf numFmtId="0" fontId="87" fillId="0" borderId="27" xfId="0" applyFont="1" applyBorder="1" applyAlignment="1">
      <alignment horizontal="left" vertical="top" wrapText="1" indent="2"/>
    </xf>
    <xf numFmtId="0" fontId="72" fillId="0" borderId="27" xfId="0" applyFont="1" applyBorder="1" applyAlignment="1">
      <alignment horizontal="left" vertical="top" wrapText="1" indent="2"/>
    </xf>
    <xf numFmtId="0" fontId="72" fillId="0" borderId="25" xfId="0" applyFont="1" applyBorder="1" applyAlignment="1">
      <alignment horizontal="left" vertical="top" wrapText="1" indent="2"/>
    </xf>
    <xf numFmtId="0" fontId="30" fillId="0" borderId="31" xfId="0" applyFont="1" applyBorder="1" applyAlignment="1">
      <alignment horizontal="left" vertical="top" wrapText="1" indent="1"/>
    </xf>
    <xf numFmtId="0" fontId="80" fillId="0" borderId="31" xfId="0" applyFont="1" applyBorder="1" applyAlignment="1">
      <alignment horizontal="left" vertical="top" wrapText="1" indent="2"/>
    </xf>
    <xf numFmtId="164" fontId="80" fillId="0" borderId="32" xfId="1" applyFont="1" applyFill="1" applyBorder="1" applyAlignment="1">
      <alignment vertical="top" wrapText="1" indent="2"/>
    </xf>
    <xf numFmtId="164" fontId="80" fillId="37" borderId="36" xfId="1" applyFont="1" applyFill="1" applyBorder="1" applyAlignment="1">
      <alignment horizontal="right" vertical="top" wrapText="1" indent="1"/>
    </xf>
    <xf numFmtId="164" fontId="48" fillId="52" borderId="11" xfId="1" applyFont="1" applyFill="1" applyBorder="1" applyAlignment="1">
      <alignment horizontal="left" vertical="top" wrapText="1" indent="2"/>
    </xf>
    <xf numFmtId="0" fontId="30" fillId="52" borderId="11" xfId="0" applyFont="1" applyFill="1" applyBorder="1" applyAlignment="1">
      <alignment horizontal="left" vertical="top" wrapText="1" indent="1"/>
    </xf>
    <xf numFmtId="164" fontId="30" fillId="52" borderId="47" xfId="1" applyFont="1" applyFill="1" applyBorder="1" applyAlignment="1">
      <alignment horizontal="right" vertical="top" wrapText="1" indent="1"/>
    </xf>
    <xf numFmtId="164" fontId="30" fillId="52" borderId="11" xfId="1" applyFont="1" applyFill="1" applyBorder="1" applyAlignment="1">
      <alignment horizontal="right" vertical="top" wrapText="1" indent="1"/>
    </xf>
    <xf numFmtId="0" fontId="43" fillId="52" borderId="11" xfId="0" applyFont="1" applyFill="1" applyBorder="1" applyAlignment="1">
      <alignment horizontal="left" vertical="top" wrapText="1" indent="1"/>
    </xf>
    <xf numFmtId="164" fontId="43" fillId="52" borderId="14" xfId="1" applyFont="1" applyFill="1" applyBorder="1" applyAlignment="1">
      <alignment horizontal="right" vertical="top" wrapText="1" indent="1"/>
    </xf>
    <xf numFmtId="0" fontId="30" fillId="52" borderId="26" xfId="0" applyFont="1" applyFill="1" applyBorder="1" applyAlignment="1">
      <alignment vertical="top" wrapText="1" indent="1"/>
    </xf>
    <xf numFmtId="0" fontId="43" fillId="52" borderId="11" xfId="0" applyFont="1" applyFill="1" applyBorder="1" applyAlignment="1">
      <alignment horizontal="left" wrapText="1"/>
    </xf>
    <xf numFmtId="164" fontId="43" fillId="52" borderId="47" xfId="1" applyFont="1" applyFill="1" applyBorder="1" applyAlignment="1">
      <alignment horizontal="right" vertical="top" wrapText="1" indent="1"/>
    </xf>
    <xf numFmtId="164" fontId="43" fillId="52" borderId="11" xfId="1" applyFont="1" applyFill="1" applyBorder="1" applyAlignment="1">
      <alignment horizontal="right" vertical="top" wrapText="1" indent="1"/>
    </xf>
    <xf numFmtId="164" fontId="48" fillId="52" borderId="60" xfId="1" applyFont="1" applyFill="1" applyBorder="1" applyAlignment="1">
      <alignment horizontal="left" vertical="top" wrapText="1" indent="2"/>
    </xf>
    <xf numFmtId="0" fontId="43" fillId="52" borderId="59" xfId="0" applyFont="1" applyFill="1" applyBorder="1" applyAlignment="1">
      <alignment horizontal="left" vertical="top" wrapText="1" indent="1"/>
    </xf>
    <xf numFmtId="164" fontId="43" fillId="52" borderId="61" xfId="1" applyFont="1" applyFill="1" applyBorder="1" applyAlignment="1">
      <alignment horizontal="right" vertical="top" wrapText="1" indent="1"/>
    </xf>
    <xf numFmtId="164" fontId="43" fillId="52" borderId="60" xfId="1" applyFont="1" applyFill="1" applyBorder="1" applyAlignment="1">
      <alignment horizontal="right" vertical="top" wrapText="1" indent="1"/>
    </xf>
    <xf numFmtId="164" fontId="43" fillId="52" borderId="59" xfId="1" applyFont="1" applyFill="1" applyBorder="1" applyAlignment="1">
      <alignment horizontal="right" vertical="top" wrapText="1" indent="1"/>
    </xf>
    <xf numFmtId="164" fontId="43" fillId="52" borderId="92" xfId="1" applyFont="1" applyFill="1" applyBorder="1" applyAlignment="1">
      <alignment horizontal="right" vertical="top" wrapText="1" indent="1"/>
    </xf>
    <xf numFmtId="164" fontId="43" fillId="52" borderId="46" xfId="1" applyFont="1" applyFill="1" applyBorder="1" applyAlignment="1">
      <alignment horizontal="right" vertical="top" wrapText="1" indent="1"/>
    </xf>
    <xf numFmtId="0" fontId="43" fillId="52" borderId="26" xfId="0" applyFont="1" applyFill="1" applyBorder="1" applyAlignment="1">
      <alignment horizontal="left" vertical="top" wrapText="1" indent="1"/>
    </xf>
    <xf numFmtId="0" fontId="43" fillId="52" borderId="26" xfId="0" applyFont="1" applyFill="1" applyBorder="1" applyAlignment="1">
      <alignment vertical="top" wrapText="1" indent="1"/>
    </xf>
    <xf numFmtId="164" fontId="48" fillId="52" borderId="66" xfId="1" applyFont="1" applyFill="1" applyBorder="1" applyAlignment="1">
      <alignment horizontal="left" vertical="center" wrapText="1" indent="2"/>
    </xf>
    <xf numFmtId="164" fontId="43" fillId="52" borderId="89" xfId="1" applyFont="1" applyFill="1" applyBorder="1" applyAlignment="1">
      <alignment horizontal="right" vertical="center" wrapText="1" indent="1"/>
    </xf>
    <xf numFmtId="164" fontId="43" fillId="52" borderId="66" xfId="1" applyFont="1" applyFill="1" applyBorder="1" applyAlignment="1">
      <alignment horizontal="right" vertical="center" wrapText="1" indent="1"/>
    </xf>
    <xf numFmtId="164" fontId="43" fillId="52" borderId="84" xfId="1" applyFont="1" applyFill="1" applyBorder="1" applyAlignment="1">
      <alignment horizontal="right" vertical="center" wrapText="1" indent="1"/>
    </xf>
    <xf numFmtId="164" fontId="48" fillId="52" borderId="54" xfId="1" applyFont="1" applyFill="1" applyBorder="1" applyAlignment="1">
      <alignment horizontal="left" vertical="top" wrapText="1" indent="2"/>
    </xf>
    <xf numFmtId="164" fontId="43" fillId="52" borderId="57" xfId="1" applyFont="1" applyFill="1" applyBorder="1" applyAlignment="1">
      <alignment horizontal="right" vertical="top" wrapText="1" indent="1"/>
    </xf>
    <xf numFmtId="164" fontId="43" fillId="52" borderId="54" xfId="1" applyFont="1" applyFill="1" applyBorder="1" applyAlignment="1">
      <alignment horizontal="right" vertical="top" wrapText="1" indent="1"/>
    </xf>
    <xf numFmtId="164" fontId="43" fillId="52" borderId="85" xfId="1" applyFont="1" applyFill="1" applyBorder="1" applyAlignment="1">
      <alignment horizontal="right" vertical="top" wrapText="1" indent="1"/>
    </xf>
    <xf numFmtId="164" fontId="114" fillId="49" borderId="11" xfId="1" applyFont="1" applyFill="1" applyBorder="1" applyAlignment="1">
      <alignment horizontal="left" wrapText="1" indent="2"/>
    </xf>
    <xf numFmtId="0" fontId="56" fillId="49" borderId="11" xfId="0" applyFont="1" applyFill="1" applyBorder="1" applyAlignment="1">
      <alignment horizontal="center" vertical="center" wrapText="1"/>
    </xf>
    <xf numFmtId="164" fontId="114" fillId="47" borderId="11" xfId="1" applyFont="1" applyFill="1" applyBorder="1" applyAlignment="1">
      <alignment horizontal="right" vertical="top" wrapText="1"/>
    </xf>
    <xf numFmtId="164" fontId="56" fillId="47" borderId="14" xfId="1" applyFont="1" applyFill="1" applyBorder="1" applyAlignment="1">
      <alignment horizontal="right" vertical="top" wrapText="1"/>
    </xf>
    <xf numFmtId="164" fontId="56" fillId="47" borderId="11" xfId="1" applyFont="1" applyFill="1" applyBorder="1" applyAlignment="1">
      <alignment horizontal="right" vertical="top" wrapText="1"/>
    </xf>
    <xf numFmtId="164" fontId="56" fillId="47" borderId="46" xfId="1" applyFont="1" applyFill="1" applyBorder="1" applyAlignment="1">
      <alignment horizontal="right" vertical="top" wrapText="1"/>
    </xf>
    <xf numFmtId="0" fontId="56" fillId="47" borderId="11" xfId="0" applyFont="1" applyFill="1" applyBorder="1" applyAlignment="1">
      <alignment horizontal="center" vertical="top" wrapText="1"/>
    </xf>
    <xf numFmtId="164" fontId="56" fillId="49" borderId="14" xfId="1" applyFont="1" applyFill="1" applyBorder="1" applyAlignment="1">
      <alignment horizontal="right" vertical="top" wrapText="1" indent="1"/>
    </xf>
    <xf numFmtId="164" fontId="56" fillId="49" borderId="11" xfId="1" applyFont="1" applyFill="1" applyBorder="1" applyAlignment="1">
      <alignment horizontal="right" vertical="top" wrapText="1" indent="1"/>
    </xf>
    <xf numFmtId="164" fontId="56" fillId="49" borderId="46" xfId="1" applyFont="1" applyFill="1" applyBorder="1" applyAlignment="1">
      <alignment horizontal="right" vertical="top" wrapText="1" indent="1"/>
    </xf>
    <xf numFmtId="164" fontId="92" fillId="0" borderId="24" xfId="1" applyFont="1" applyFill="1" applyBorder="1" applyAlignment="1">
      <alignment vertical="top"/>
    </xf>
    <xf numFmtId="164" fontId="92" fillId="0" borderId="27" xfId="1" applyFont="1" applyFill="1" applyBorder="1" applyAlignment="1">
      <alignment vertical="top"/>
    </xf>
    <xf numFmtId="164" fontId="82" fillId="51" borderId="24" xfId="1" applyFont="1" applyFill="1" applyBorder="1" applyAlignment="1">
      <alignment horizontal="right" vertical="top" wrapText="1" indent="1"/>
    </xf>
    <xf numFmtId="164" fontId="82" fillId="0" borderId="24" xfId="1" applyFont="1" applyBorder="1" applyAlignment="1">
      <alignment horizontal="right" vertical="top" wrapText="1" indent="1"/>
    </xf>
    <xf numFmtId="164" fontId="50" fillId="0" borderId="0" xfId="1" applyFont="1"/>
    <xf numFmtId="164" fontId="18" fillId="0" borderId="0" xfId="1" applyFont="1" applyAlignment="1">
      <alignment vertical="center"/>
    </xf>
    <xf numFmtId="164" fontId="44" fillId="41" borderId="0" xfId="1" applyFont="1" applyFill="1"/>
    <xf numFmtId="164" fontId="44" fillId="40" borderId="0" xfId="1" applyFont="1" applyFill="1"/>
    <xf numFmtId="164" fontId="74" fillId="0" borderId="0" xfId="1" applyFont="1"/>
    <xf numFmtId="164" fontId="76" fillId="0" borderId="0" xfId="1" applyFont="1" applyAlignment="1">
      <alignment vertical="center"/>
    </xf>
    <xf numFmtId="164" fontId="25" fillId="40" borderId="0" xfId="1" applyFont="1" applyFill="1"/>
    <xf numFmtId="164" fontId="44" fillId="41" borderId="0" xfId="1" applyFont="1" applyFill="1" applyAlignment="1">
      <alignment vertical="center"/>
    </xf>
    <xf numFmtId="164" fontId="25" fillId="39" borderId="0" xfId="1" applyFont="1" applyFill="1" applyAlignment="1">
      <alignment vertical="center"/>
    </xf>
    <xf numFmtId="164" fontId="76" fillId="0" borderId="16" xfId="1" applyFont="1" applyBorder="1" applyAlignment="1">
      <alignment vertical="center"/>
    </xf>
    <xf numFmtId="164" fontId="30" fillId="34" borderId="86" xfId="1" applyFont="1" applyFill="1" applyBorder="1" applyAlignment="1">
      <alignment vertical="top" wrapText="1" indent="1"/>
    </xf>
    <xf numFmtId="164" fontId="30" fillId="34" borderId="81" xfId="1" applyFont="1" applyFill="1" applyBorder="1" applyAlignment="1">
      <alignment vertical="top" wrapText="1" indent="2"/>
    </xf>
    <xf numFmtId="164" fontId="72" fillId="0" borderId="81" xfId="1" applyFont="1" applyBorder="1" applyAlignment="1">
      <alignment horizontal="right" vertical="top" wrapText="1" indent="1"/>
    </xf>
    <xf numFmtId="164" fontId="72" fillId="0" borderId="87" xfId="1" applyFont="1" applyBorder="1" applyAlignment="1">
      <alignment horizontal="right" vertical="top" wrapText="1" indent="1"/>
    </xf>
    <xf numFmtId="164" fontId="30" fillId="45" borderId="14" xfId="1" applyFont="1" applyFill="1" applyBorder="1" applyAlignment="1">
      <alignment horizontal="right" vertical="top" wrapText="1" indent="1"/>
    </xf>
    <xf numFmtId="164" fontId="30" fillId="40" borderId="14" xfId="1" applyFont="1" applyFill="1" applyBorder="1" applyAlignment="1">
      <alignment horizontal="left" vertical="top" wrapText="1"/>
    </xf>
    <xf numFmtId="164" fontId="30" fillId="44" borderId="14" xfId="1" applyFont="1" applyFill="1" applyBorder="1" applyAlignment="1">
      <alignment horizontal="left" vertical="top" wrapText="1"/>
    </xf>
    <xf numFmtId="0" fontId="30" fillId="34" borderId="24" xfId="0" applyFont="1" applyFill="1" applyBorder="1" applyAlignment="1">
      <alignment horizontal="left" vertical="top" wrapText="1" indent="1"/>
    </xf>
    <xf numFmtId="0" fontId="30" fillId="34" borderId="23" xfId="0" applyFont="1" applyFill="1" applyBorder="1" applyAlignment="1">
      <alignment horizontal="left" vertical="top" wrapText="1" indent="1"/>
    </xf>
    <xf numFmtId="164" fontId="30" fillId="34" borderId="26" xfId="1" applyFont="1" applyFill="1" applyBorder="1" applyAlignment="1">
      <alignment horizontal="center" vertical="top" wrapText="1"/>
    </xf>
    <xf numFmtId="164" fontId="72" fillId="0" borderId="24" xfId="1" applyFont="1" applyBorder="1" applyAlignment="1">
      <alignment horizontal="center" vertical="top" wrapText="1"/>
    </xf>
    <xf numFmtId="164" fontId="30" fillId="34" borderId="24" xfId="1" applyFont="1" applyFill="1" applyBorder="1" applyAlignment="1">
      <alignment horizontal="center" vertical="top" wrapText="1"/>
    </xf>
    <xf numFmtId="164" fontId="30" fillId="45" borderId="11" xfId="1" applyFont="1" applyFill="1" applyBorder="1" applyAlignment="1">
      <alignment horizontal="center" vertical="top" wrapText="1"/>
    </xf>
    <xf numFmtId="164" fontId="79" fillId="40" borderId="11" xfId="1" applyFont="1" applyFill="1" applyBorder="1" applyAlignment="1">
      <alignment horizontal="right" vertical="top" wrapText="1" indent="1"/>
    </xf>
    <xf numFmtId="164" fontId="30" fillId="44" borderId="11" xfId="1" applyFont="1" applyFill="1" applyBorder="1" applyAlignment="1">
      <alignment horizontal="right" vertical="top" wrapText="1" indent="1"/>
    </xf>
    <xf numFmtId="0" fontId="43" fillId="0" borderId="0" xfId="0" applyFont="1" applyAlignment="1">
      <alignment vertical="top" wrapText="1"/>
    </xf>
    <xf numFmtId="0" fontId="45" fillId="0" borderId="0" xfId="0" applyFont="1" applyAlignment="1">
      <alignment horizontal="center" wrapText="1"/>
    </xf>
    <xf numFmtId="0" fontId="46" fillId="0" borderId="0" xfId="0" applyFont="1" applyAlignment="1">
      <alignment horizontal="center" wrapText="1"/>
    </xf>
    <xf numFmtId="0" fontId="47" fillId="0" borderId="0" xfId="0" applyFont="1" applyAlignment="1">
      <alignment horizontal="center" wrapText="1"/>
    </xf>
    <xf numFmtId="0" fontId="44" fillId="0" borderId="0" xfId="0" applyFont="1"/>
    <xf numFmtId="0" fontId="43" fillId="33" borderId="11" xfId="0" applyFont="1" applyFill="1" applyBorder="1" applyAlignment="1">
      <alignment horizontal="center" vertical="center" wrapText="1"/>
    </xf>
    <xf numFmtId="0" fontId="49" fillId="42" borderId="11" xfId="0" applyFont="1" applyFill="1" applyBorder="1" applyAlignment="1">
      <alignment horizontal="center" vertical="center" wrapText="1"/>
    </xf>
    <xf numFmtId="0" fontId="21" fillId="0" borderId="0" xfId="0" applyFont="1" applyAlignment="1">
      <alignment horizontal="center"/>
    </xf>
    <xf numFmtId="0" fontId="0" fillId="0" borderId="80" xfId="0" applyBorder="1" applyAlignment="1">
      <alignment horizontal="left" wrapText="1"/>
    </xf>
    <xf numFmtId="0" fontId="30" fillId="33" borderId="74" xfId="0" applyFont="1" applyFill="1" applyBorder="1" applyAlignment="1">
      <alignment horizontal="center" vertical="center" wrapText="1"/>
    </xf>
    <xf numFmtId="0" fontId="30" fillId="33" borderId="40" xfId="0" applyFont="1" applyFill="1" applyBorder="1" applyAlignment="1">
      <alignment horizontal="center" vertical="center" wrapText="1"/>
    </xf>
    <xf numFmtId="0" fontId="30" fillId="33" borderId="48" xfId="0" applyFont="1" applyFill="1" applyBorder="1" applyAlignment="1">
      <alignment horizontal="center" vertical="center" wrapText="1"/>
    </xf>
    <xf numFmtId="0" fontId="30" fillId="33" borderId="23" xfId="0" applyFont="1" applyFill="1" applyBorder="1" applyAlignment="1">
      <alignment horizontal="center" vertical="center" wrapText="1"/>
    </xf>
    <xf numFmtId="0" fontId="30" fillId="33" borderId="24" xfId="0" applyFont="1" applyFill="1" applyBorder="1" applyAlignment="1">
      <alignment horizontal="center" vertical="center" wrapText="1"/>
    </xf>
    <xf numFmtId="0" fontId="30" fillId="33" borderId="27" xfId="0" applyFont="1" applyFill="1" applyBorder="1" applyAlignment="1">
      <alignment horizontal="center" vertical="center" wrapText="1"/>
    </xf>
    <xf numFmtId="0" fontId="30" fillId="33" borderId="75" xfId="0" applyFont="1" applyFill="1" applyBorder="1" applyAlignment="1">
      <alignment horizontal="center" vertical="center" wrapText="1"/>
    </xf>
    <xf numFmtId="0" fontId="30" fillId="33" borderId="41" xfId="0" applyFont="1" applyFill="1" applyBorder="1" applyAlignment="1">
      <alignment horizontal="center" vertical="center" wrapText="1"/>
    </xf>
    <xf numFmtId="0" fontId="30" fillId="33" borderId="49" xfId="0" applyFont="1" applyFill="1" applyBorder="1" applyAlignment="1">
      <alignment horizontal="center" vertical="center" wrapText="1"/>
    </xf>
    <xf numFmtId="0" fontId="73" fillId="42" borderId="28" xfId="0" applyFont="1" applyFill="1" applyBorder="1" applyAlignment="1">
      <alignment horizontal="center" vertical="center" wrapText="1"/>
    </xf>
    <xf numFmtId="0" fontId="73" fillId="42" borderId="29" xfId="0" applyFont="1" applyFill="1" applyBorder="1" applyAlignment="1">
      <alignment horizontal="center" vertical="center" wrapText="1"/>
    </xf>
    <xf numFmtId="0" fontId="73" fillId="42" borderId="30" xfId="0" applyFont="1" applyFill="1" applyBorder="1" applyAlignment="1">
      <alignment horizontal="center" vertical="center" wrapText="1"/>
    </xf>
    <xf numFmtId="0" fontId="73" fillId="42" borderId="77" xfId="0" applyFont="1" applyFill="1" applyBorder="1" applyAlignment="1">
      <alignment horizontal="center" vertical="center" wrapText="1"/>
    </xf>
    <xf numFmtId="0" fontId="73" fillId="42" borderId="78" xfId="0" applyFont="1" applyFill="1" applyBorder="1" applyAlignment="1">
      <alignment horizontal="center" vertical="center" wrapText="1"/>
    </xf>
    <xf numFmtId="0" fontId="73" fillId="42" borderId="79" xfId="0" applyFont="1" applyFill="1" applyBorder="1" applyAlignment="1">
      <alignment horizontal="center" vertical="center" wrapText="1"/>
    </xf>
    <xf numFmtId="0" fontId="30" fillId="33" borderId="76" xfId="0" applyFont="1" applyFill="1" applyBorder="1" applyAlignment="1">
      <alignment horizontal="center" vertical="center" wrapText="1"/>
    </xf>
    <xf numFmtId="0" fontId="30" fillId="33" borderId="42" xfId="0" applyFont="1" applyFill="1" applyBorder="1" applyAlignment="1">
      <alignment horizontal="center" vertical="center" wrapText="1"/>
    </xf>
    <xf numFmtId="0" fontId="30" fillId="33" borderId="58" xfId="0" applyFont="1" applyFill="1" applyBorder="1" applyAlignment="1">
      <alignment horizontal="center" vertical="center" wrapText="1"/>
    </xf>
    <xf numFmtId="0" fontId="47" fillId="0" borderId="0" xfId="0" applyFont="1" applyAlignment="1">
      <alignment wrapText="1"/>
    </xf>
    <xf numFmtId="0" fontId="30" fillId="33" borderId="11" xfId="0" applyFont="1" applyFill="1" applyBorder="1" applyAlignment="1">
      <alignment horizontal="center" vertical="center" wrapText="1"/>
    </xf>
    <xf numFmtId="0" fontId="73" fillId="42" borderId="11" xfId="0" applyFont="1" applyFill="1" applyBorder="1" applyAlignment="1">
      <alignment horizontal="center" vertical="center" wrapText="1"/>
    </xf>
    <xf numFmtId="0" fontId="43" fillId="0" borderId="0" xfId="0" applyFont="1" applyAlignment="1">
      <alignment horizontal="left" vertical="top" wrapText="1"/>
    </xf>
    <xf numFmtId="0" fontId="30" fillId="33" borderId="14" xfId="0" applyFont="1" applyFill="1" applyBorder="1" applyAlignment="1">
      <alignment horizontal="center" vertical="center" wrapText="1"/>
    </xf>
    <xf numFmtId="0" fontId="73" fillId="42" borderId="46" xfId="0" applyFont="1" applyFill="1" applyBorder="1" applyAlignment="1">
      <alignment horizontal="center" vertical="center" wrapText="1"/>
    </xf>
    <xf numFmtId="0" fontId="47" fillId="37" borderId="0" xfId="0" applyFont="1" applyFill="1" applyAlignment="1">
      <alignment horizontal="center" wrapText="1"/>
    </xf>
    <xf numFmtId="0" fontId="44" fillId="37" borderId="0" xfId="0" applyFont="1" applyFill="1"/>
    <xf numFmtId="0" fontId="79" fillId="33" borderId="11" xfId="0" applyFont="1" applyFill="1" applyBorder="1" applyAlignment="1">
      <alignment horizontal="center" vertical="center" wrapText="1"/>
    </xf>
    <xf numFmtId="0" fontId="30" fillId="33" borderId="28" xfId="0" applyFont="1" applyFill="1" applyBorder="1" applyAlignment="1">
      <alignment horizontal="center" vertical="center" wrapText="1"/>
    </xf>
    <xf numFmtId="0" fontId="30" fillId="33" borderId="31" xfId="0" applyFont="1" applyFill="1" applyBorder="1" applyAlignment="1">
      <alignment horizontal="center" vertical="center" wrapText="1"/>
    </xf>
    <xf numFmtId="0" fontId="30" fillId="33" borderId="35" xfId="0" applyFont="1" applyFill="1" applyBorder="1" applyAlignment="1">
      <alignment horizontal="center" vertical="center" wrapText="1"/>
    </xf>
    <xf numFmtId="0" fontId="30" fillId="33" borderId="29" xfId="0" applyFont="1" applyFill="1" applyBorder="1" applyAlignment="1">
      <alignment horizontal="center" vertical="center" wrapText="1"/>
    </xf>
    <xf numFmtId="0" fontId="30" fillId="33" borderId="19" xfId="0" applyFont="1" applyFill="1" applyBorder="1" applyAlignment="1">
      <alignment horizontal="center" vertical="center" wrapText="1"/>
    </xf>
    <xf numFmtId="0" fontId="30" fillId="33" borderId="21" xfId="0" applyFont="1" applyFill="1" applyBorder="1" applyAlignment="1">
      <alignment horizontal="center" vertical="center" wrapText="1"/>
    </xf>
    <xf numFmtId="0" fontId="73" fillId="42" borderId="19" xfId="0" applyFont="1" applyFill="1" applyBorder="1" applyAlignment="1">
      <alignment horizontal="center" vertical="center" wrapText="1"/>
    </xf>
    <xf numFmtId="0" fontId="30" fillId="33" borderId="30" xfId="0" applyFont="1" applyFill="1" applyBorder="1" applyAlignment="1">
      <alignment horizontal="center" vertical="center" wrapText="1"/>
    </xf>
    <xf numFmtId="0" fontId="30" fillId="33" borderId="32" xfId="0" applyFont="1" applyFill="1" applyBorder="1" applyAlignment="1">
      <alignment horizontal="center" vertical="center" wrapText="1"/>
    </xf>
    <xf numFmtId="0" fontId="30" fillId="33" borderId="36" xfId="0" applyFont="1" applyFill="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7FFFF"/>
      <color rgb="FFF6F6F6"/>
      <color rgb="FFFBFBFB"/>
      <color rgb="FFF2F2F2"/>
      <color rgb="FFF9E9D7"/>
      <color rgb="FFDB4C2C"/>
      <color rgb="FFFAECDE"/>
      <color rgb="FFFCF3EA"/>
      <color rgb="FFF4D1AA"/>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468382</xdr:colOff>
      <xdr:row>38</xdr:row>
      <xdr:rowOff>14493</xdr:rowOff>
    </xdr:from>
    <xdr:to>
      <xdr:col>6</xdr:col>
      <xdr:colOff>818078</xdr:colOff>
      <xdr:row>45</xdr:row>
      <xdr:rowOff>52593</xdr:rowOff>
    </xdr:to>
    <xdr:sp macro="" textlink="">
      <xdr:nvSpPr>
        <xdr:cNvPr id="2" name="TextBox 1">
          <a:extLst>
            <a:ext uri="{FF2B5EF4-FFF2-40B4-BE49-F238E27FC236}">
              <a16:creationId xmlns="" xmlns:a16="http://schemas.microsoft.com/office/drawing/2014/main" id="{33CB1125-3CCA-4CBE-B084-7A2C22B6340E}"/>
            </a:ext>
          </a:extLst>
        </xdr:cNvPr>
        <xdr:cNvSpPr txBox="1"/>
      </xdr:nvSpPr>
      <xdr:spPr>
        <a:xfrm>
          <a:off x="468382" y="7682118"/>
          <a:ext cx="7636321"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endParaRPr lang="en-PH" sz="1000" b="0" i="1">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441332</xdr:colOff>
      <xdr:row>51</xdr:row>
      <xdr:rowOff>9525</xdr:rowOff>
    </xdr:from>
    <xdr:to>
      <xdr:col>6</xdr:col>
      <xdr:colOff>804832</xdr:colOff>
      <xdr:row>58</xdr:row>
      <xdr:rowOff>47625</xdr:rowOff>
    </xdr:to>
    <xdr:sp macro="" textlink="">
      <xdr:nvSpPr>
        <xdr:cNvPr id="2" name="TextBox 1">
          <a:extLst>
            <a:ext uri="{FF2B5EF4-FFF2-40B4-BE49-F238E27FC236}">
              <a16:creationId xmlns="" xmlns:a16="http://schemas.microsoft.com/office/drawing/2014/main" id="{00000000-0008-0000-1600-000002000000}"/>
            </a:ext>
          </a:extLst>
        </xdr:cNvPr>
        <xdr:cNvSpPr txBox="1"/>
      </xdr:nvSpPr>
      <xdr:spPr>
        <a:xfrm>
          <a:off x="441332" y="13622338"/>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r>
            <a:rPr lang="en-PH" sz="1000" b="1">
              <a:solidFill>
                <a:schemeClr val="dk1"/>
              </a:solidFill>
              <a:effectLst/>
              <a:latin typeface="Candara" panose="020E0502030303020204" pitchFamily="34" charset="0"/>
              <a:ea typeface="+mn-ea"/>
              <a:cs typeface="+mn-cs"/>
            </a:rPr>
            <a:t>RODEL E. FERRERAS</a:t>
          </a:r>
          <a:endParaRPr lang="en-PH" sz="1000">
            <a:effectLst/>
            <a:latin typeface="Candara" panose="020E0502030303020204" pitchFamily="34" charset="0"/>
          </a:endParaRPr>
        </a:p>
        <a:p>
          <a:r>
            <a:rPr lang="en-PH" sz="1000" b="0" i="0" baseline="0">
              <a:solidFill>
                <a:schemeClr val="dk1"/>
              </a:solidFill>
              <a:effectLst/>
              <a:latin typeface="Candara" panose="020E0502030303020204" pitchFamily="34" charset="0"/>
              <a:ea typeface="+mn-ea"/>
              <a:cs typeface="+mn-cs"/>
            </a:rPr>
            <a:t>Permits &amp; Licensing Section</a:t>
          </a:r>
          <a:endParaRPr lang="en-PH" sz="1000">
            <a:effectLst/>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495299</xdr:colOff>
      <xdr:row>75</xdr:row>
      <xdr:rowOff>48746</xdr:rowOff>
    </xdr:from>
    <xdr:to>
      <xdr:col>6</xdr:col>
      <xdr:colOff>861974</xdr:colOff>
      <xdr:row>82</xdr:row>
      <xdr:rowOff>86846</xdr:rowOff>
    </xdr:to>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495299" y="14621996"/>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r>
            <a:rPr lang="en-PH" sz="1000" b="1">
              <a:solidFill>
                <a:schemeClr val="dk1"/>
              </a:solidFill>
              <a:effectLst/>
              <a:latin typeface="Candara" panose="020E0502030303020204" pitchFamily="34" charset="0"/>
              <a:ea typeface="+mn-ea"/>
              <a:cs typeface="+mn-cs"/>
            </a:rPr>
            <a:t>MARK ERIC C. DIONEDA</a:t>
          </a:r>
          <a:endParaRPr lang="en-PH" sz="1000">
            <a:effectLst/>
            <a:latin typeface="Candara" panose="020E0502030303020204" pitchFamily="34" charset="0"/>
          </a:endParaRPr>
        </a:p>
        <a:p>
          <a:pPr algn="l"/>
          <a:r>
            <a:rPr lang="en-PH" sz="1000" b="0" i="0" baseline="0">
              <a:latin typeface="Candara" panose="020E0502030303020204" pitchFamily="34" charset="0"/>
            </a:rPr>
            <a:t>City Vice-Mayor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482048</xdr:colOff>
      <xdr:row>67</xdr:row>
      <xdr:rowOff>85847</xdr:rowOff>
    </xdr:from>
    <xdr:to>
      <xdr:col>6</xdr:col>
      <xdr:colOff>831744</xdr:colOff>
      <xdr:row>74</xdr:row>
      <xdr:rowOff>123947</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482048" y="13892956"/>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r>
            <a:rPr lang="en-PH" sz="1000" b="1">
              <a:solidFill>
                <a:schemeClr val="dk1"/>
              </a:solidFill>
              <a:effectLst/>
              <a:latin typeface="Candara" panose="020E0502030303020204" pitchFamily="34" charset="0"/>
              <a:ea typeface="+mn-ea"/>
              <a:cs typeface="+mn-cs"/>
            </a:rPr>
            <a:t>MARK ERIC C. DIONEDA</a:t>
          </a:r>
          <a:endParaRPr lang="en-PH" sz="1000">
            <a:effectLst/>
            <a:latin typeface="Candara" panose="020E0502030303020204" pitchFamily="34" charset="0"/>
          </a:endParaRPr>
        </a:p>
        <a:p>
          <a:pPr algn="l"/>
          <a:r>
            <a:rPr lang="en-PH" sz="1000" b="0" baseline="0">
              <a:latin typeface="Candara" panose="020E0502030303020204" pitchFamily="34" charset="0"/>
            </a:rPr>
            <a:t>City Vice-Mayor/Presiding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MA.ESTER E. HAMOR</a:t>
          </a:r>
        </a:p>
        <a:p>
          <a:pPr algn="l"/>
          <a:r>
            <a:rPr lang="en-PH" sz="1000" b="0" baseline="0">
              <a:latin typeface="Candara" panose="020E0502030303020204" pitchFamily="34" charset="0"/>
            </a:rPr>
            <a:t>City Mayor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474789</xdr:colOff>
      <xdr:row>89</xdr:row>
      <xdr:rowOff>19051</xdr:rowOff>
    </xdr:from>
    <xdr:to>
      <xdr:col>6</xdr:col>
      <xdr:colOff>676276</xdr:colOff>
      <xdr:row>94</xdr:row>
      <xdr:rowOff>66676</xdr:rowOff>
    </xdr:to>
    <xdr:sp macro="" textlink="">
      <xdr:nvSpPr>
        <xdr:cNvPr id="2" name="TextBox 1">
          <a:extLst>
            <a:ext uri="{FF2B5EF4-FFF2-40B4-BE49-F238E27FC236}">
              <a16:creationId xmlns="" xmlns:a16="http://schemas.microsoft.com/office/drawing/2014/main" id="{00000000-0008-0000-0C00-000002000000}"/>
            </a:ext>
          </a:extLst>
        </xdr:cNvPr>
        <xdr:cNvSpPr txBox="1"/>
      </xdr:nvSpPr>
      <xdr:spPr>
        <a:xfrm>
          <a:off x="474789" y="18621376"/>
          <a:ext cx="7488112" cy="12954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latin typeface="Candara" panose="020E0502030303020204" pitchFamily="34" charset="0"/>
            </a:rPr>
            <a:t>ROVAN E. DOMASIAN</a:t>
          </a:r>
        </a:p>
        <a:p>
          <a:pPr algn="l"/>
          <a:r>
            <a:rPr lang="en-PH" sz="1000" b="0" baseline="0">
              <a:latin typeface="Candara" panose="020E0502030303020204" pitchFamily="34" charset="0"/>
            </a:rPr>
            <a:t>SP Secretary</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  </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495300</xdr:colOff>
      <xdr:row>49</xdr:row>
      <xdr:rowOff>19050</xdr:rowOff>
    </xdr:from>
    <xdr:to>
      <xdr:col>6</xdr:col>
      <xdr:colOff>861242</xdr:colOff>
      <xdr:row>56</xdr:row>
      <xdr:rowOff>57150</xdr:rowOff>
    </xdr:to>
    <xdr:sp macro="" textlink="">
      <xdr:nvSpPr>
        <xdr:cNvPr id="2" name="TextBox 1">
          <a:extLst>
            <a:ext uri="{FF2B5EF4-FFF2-40B4-BE49-F238E27FC236}">
              <a16:creationId xmlns="" xmlns:a16="http://schemas.microsoft.com/office/drawing/2014/main" id="{C6294C26-176D-42FB-B0D1-A638DBA03158}"/>
            </a:ext>
          </a:extLst>
        </xdr:cNvPr>
        <xdr:cNvSpPr txBox="1"/>
      </xdr:nvSpPr>
      <xdr:spPr>
        <a:xfrm>
          <a:off x="495300" y="12830175"/>
          <a:ext cx="7652567"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solidFill>
                <a:schemeClr val="dk1"/>
              </a:solidFill>
              <a:effectLst/>
              <a:latin typeface="Candara" panose="020E0502030303020204" pitchFamily="34" charset="0"/>
              <a:ea typeface="+mn-ea"/>
              <a:cs typeface="+mn-cs"/>
            </a:rPr>
            <a:t>Prepared:</a:t>
          </a:r>
        </a:p>
        <a:p>
          <a:pPr algn="l"/>
          <a:endParaRPr lang="en-PH" sz="1000" b="1">
            <a:effectLst/>
            <a:latin typeface="Candara" panose="020E0502030303020204" pitchFamily="34" charset="0"/>
          </a:endParaRPr>
        </a:p>
        <a:p>
          <a:pPr algn="l"/>
          <a:endParaRPr lang="en-PH" sz="1000" b="1">
            <a:effectLst/>
            <a:latin typeface="Candara" panose="020E0502030303020204" pitchFamily="34" charset="0"/>
          </a:endParaRPr>
        </a:p>
        <a:p>
          <a:pPr algn="l"/>
          <a:endParaRPr lang="en-PH" sz="1000" b="1">
            <a:effectLst/>
            <a:latin typeface="Candara" panose="020E0502030303020204" pitchFamily="34" charset="0"/>
          </a:endParaRPr>
        </a:p>
        <a:p>
          <a:pPr algn="l"/>
          <a:r>
            <a:rPr lang="en-PH" sz="1000" b="1">
              <a:effectLst/>
              <a:latin typeface="Candara" panose="020E0502030303020204" pitchFamily="34" charset="0"/>
            </a:rPr>
            <a:t>ATTY.MARK GERALD D.</a:t>
          </a:r>
          <a:r>
            <a:rPr lang="en-PH" sz="1000" b="1" baseline="0">
              <a:effectLst/>
              <a:latin typeface="Candara" panose="020E0502030303020204" pitchFamily="34" charset="0"/>
            </a:rPr>
            <a:t> GUIRINDOLA</a:t>
          </a:r>
          <a:endParaRPr lang="en-PH" sz="1000" b="1">
            <a:effectLst/>
            <a:latin typeface="Candara" panose="020E0502030303020204" pitchFamily="34" charset="0"/>
          </a:endParaRPr>
        </a:p>
        <a:p>
          <a:pPr algn="l"/>
          <a:r>
            <a:rPr lang="en-PH" sz="1000" b="0" i="0" baseline="0">
              <a:solidFill>
                <a:schemeClr val="dk1"/>
              </a:solidFill>
              <a:effectLst/>
              <a:latin typeface="Candara" panose="020E0502030303020204" pitchFamily="34" charset="0"/>
              <a:ea typeface="+mn-ea"/>
              <a:cs typeface="+mn-cs"/>
            </a:rPr>
            <a:t>City Administrator</a:t>
          </a:r>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1" baseline="0">
            <a:latin typeface="Candara" panose="020E0502030303020204" pitchFamily="34" charset="0"/>
          </a:endParaRPr>
        </a:p>
        <a:p>
          <a:pPr algn="l"/>
          <a:endParaRPr lang="en-PH" sz="1000" b="1" baseline="0">
            <a:latin typeface="Candara" panose="020E0502030303020204" pitchFamily="34" charset="0"/>
          </a:endParaRPr>
        </a:p>
        <a:p>
          <a:pPr algn="l"/>
          <a:endParaRPr lang="en-PH" sz="1000" b="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472055</xdr:colOff>
      <xdr:row>50</xdr:row>
      <xdr:rowOff>58831</xdr:rowOff>
    </xdr:from>
    <xdr:to>
      <xdr:col>6</xdr:col>
      <xdr:colOff>821751</xdr:colOff>
      <xdr:row>57</xdr:row>
      <xdr:rowOff>96931</xdr:rowOff>
    </xdr:to>
    <xdr:sp macro="" textlink="">
      <xdr:nvSpPr>
        <xdr:cNvPr id="2" name="TextBox 1">
          <a:extLst>
            <a:ext uri="{FF2B5EF4-FFF2-40B4-BE49-F238E27FC236}">
              <a16:creationId xmlns="" xmlns:a16="http://schemas.microsoft.com/office/drawing/2014/main" id="{00000000-0008-0000-0D00-000002000000}"/>
            </a:ext>
          </a:extLst>
        </xdr:cNvPr>
        <xdr:cNvSpPr txBox="1"/>
      </xdr:nvSpPr>
      <xdr:spPr>
        <a:xfrm>
          <a:off x="472055" y="12107956"/>
          <a:ext cx="7636321"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latin typeface="Candara" panose="020E0502030303020204" pitchFamily="34" charset="0"/>
            </a:rPr>
            <a:t>CLAUDIO D. JAZMIN, JR.</a:t>
          </a:r>
        </a:p>
        <a:p>
          <a:r>
            <a:rPr lang="en-PH" sz="1000" b="0" baseline="0">
              <a:solidFill>
                <a:schemeClr val="dk1"/>
              </a:solidFill>
              <a:effectLst/>
              <a:latin typeface="Candara" panose="020E0502030303020204" pitchFamily="34" charset="0"/>
              <a:ea typeface="+mn-ea"/>
              <a:cs typeface="+mn-cs"/>
            </a:rPr>
            <a:t>City Human Resource Management </a:t>
          </a:r>
          <a:endParaRPr lang="en-PH" sz="1000">
            <a:effectLst/>
            <a:latin typeface="Candara" panose="020E0502030303020204" pitchFamily="34" charset="0"/>
          </a:endParaRPr>
        </a:p>
        <a:p>
          <a:r>
            <a:rPr lang="en-PH" sz="1000" b="0" baseline="0">
              <a:solidFill>
                <a:schemeClr val="dk1"/>
              </a:solidFill>
              <a:effectLst/>
              <a:latin typeface="Candara" panose="020E0502030303020204" pitchFamily="34" charset="0"/>
              <a:ea typeface="+mn-ea"/>
              <a:cs typeface="+mn-cs"/>
            </a:rPr>
            <a:t>Officer</a:t>
          </a:r>
          <a:endParaRPr lang="en-PH" sz="1000">
            <a:effectLst/>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PH" sz="1000" b="1" baseline="0">
              <a:solidFill>
                <a:schemeClr val="dk1"/>
              </a:solidFill>
              <a:latin typeface="Candara" panose="020E0502030303020204" pitchFamily="34" charset="0"/>
              <a:ea typeface="+mn-ea"/>
              <a:cs typeface="+mn-cs"/>
            </a:rPr>
            <a:t>JINKY E. AQUINO</a:t>
          </a:r>
        </a:p>
        <a:p>
          <a:pPr marL="0" marR="0" indent="0" algn="l" defTabSz="914400" eaLnBrk="1" fontAlgn="auto" latinLnBrk="0" hangingPunct="1">
            <a:lnSpc>
              <a:spcPct val="100000"/>
            </a:lnSpc>
            <a:spcBef>
              <a:spcPts val="0"/>
            </a:spcBef>
            <a:spcAft>
              <a:spcPts val="0"/>
            </a:spcAft>
            <a:buClrTx/>
            <a:buSzTx/>
            <a:buFontTx/>
            <a:buNone/>
            <a:tabLst/>
            <a:defRPr/>
          </a:pPr>
          <a:r>
            <a:rPr lang="en-PH" sz="1000" b="0" baseline="0">
              <a:solidFill>
                <a:schemeClr val="dk1"/>
              </a:solidFill>
              <a:latin typeface="Candara" panose="020E0502030303020204" pitchFamily="34" charset="0"/>
              <a:ea typeface="+mn-ea"/>
              <a:cs typeface="+mn-cs"/>
            </a:rPr>
            <a:t>City Budget Officer</a:t>
          </a:r>
          <a:endParaRPr lang="en-PH" sz="1000">
            <a:solidFill>
              <a:schemeClr val="dk1"/>
            </a:solidFill>
            <a:latin typeface="Candara" panose="020E0502030303020204" pitchFamily="34" charset="0"/>
            <a:ea typeface="+mn-ea"/>
            <a:cs typeface="+mn-cs"/>
          </a:endParaRPr>
        </a:p>
        <a:p>
          <a:pPr algn="l"/>
          <a:endParaRPr lang="en-PH" sz="1000" b="1"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259772</xdr:colOff>
      <xdr:row>47</xdr:row>
      <xdr:rowOff>17318</xdr:rowOff>
    </xdr:from>
    <xdr:to>
      <xdr:col>6</xdr:col>
      <xdr:colOff>642366</xdr:colOff>
      <xdr:row>54</xdr:row>
      <xdr:rowOff>55418</xdr:rowOff>
    </xdr:to>
    <xdr:sp macro="" textlink="">
      <xdr:nvSpPr>
        <xdr:cNvPr id="4" name="TextBox 3">
          <a:extLst>
            <a:ext uri="{FF2B5EF4-FFF2-40B4-BE49-F238E27FC236}">
              <a16:creationId xmlns="" xmlns:a16="http://schemas.microsoft.com/office/drawing/2014/main" id="{178D6A3E-70DC-4004-A824-4F74E7877CD3}"/>
            </a:ext>
          </a:extLst>
        </xdr:cNvPr>
        <xdr:cNvSpPr txBox="1"/>
      </xdr:nvSpPr>
      <xdr:spPr>
        <a:xfrm>
          <a:off x="259772" y="8269432"/>
          <a:ext cx="765623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HENRY C.</a:t>
          </a:r>
          <a:r>
            <a:rPr lang="en-PH" sz="1000" b="1" baseline="0">
              <a:solidFill>
                <a:schemeClr val="dk1"/>
              </a:solidFill>
              <a:effectLst/>
              <a:latin typeface="Candara" panose="020E0502030303020204" pitchFamily="34" charset="0"/>
              <a:ea typeface="+mn-ea"/>
              <a:cs typeface="+mn-cs"/>
            </a:rPr>
            <a:t> GUEMO</a:t>
          </a:r>
          <a:endParaRPr lang="en-PH" sz="1000">
            <a:effectLst/>
            <a:latin typeface="Candara" panose="020E0502030303020204" pitchFamily="34" charset="0"/>
          </a:endParaRPr>
        </a:p>
        <a:p>
          <a:r>
            <a:rPr lang="en-PH" sz="1000" baseline="0">
              <a:solidFill>
                <a:schemeClr val="dk1"/>
              </a:solidFill>
              <a:effectLst/>
              <a:latin typeface="Candara" panose="020E0502030303020204" pitchFamily="34" charset="0"/>
              <a:ea typeface="+mn-ea"/>
              <a:cs typeface="+mn-cs"/>
            </a:rPr>
            <a:t>City PESO Manager</a:t>
          </a:r>
        </a:p>
        <a:p>
          <a:endParaRPr lang="en-PH" sz="1000">
            <a:effectLst/>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489442</xdr:colOff>
      <xdr:row>49</xdr:row>
      <xdr:rowOff>19050</xdr:rowOff>
    </xdr:from>
    <xdr:to>
      <xdr:col>6</xdr:col>
      <xdr:colOff>855384</xdr:colOff>
      <xdr:row>56</xdr:row>
      <xdr:rowOff>57150</xdr:rowOff>
    </xdr:to>
    <xdr:sp macro="" textlink="">
      <xdr:nvSpPr>
        <xdr:cNvPr id="2" name="TextBox 1">
          <a:extLst>
            <a:ext uri="{FF2B5EF4-FFF2-40B4-BE49-F238E27FC236}">
              <a16:creationId xmlns="" xmlns:a16="http://schemas.microsoft.com/office/drawing/2014/main" id="{00000000-0008-0000-0E00-000002000000}"/>
            </a:ext>
          </a:extLst>
        </xdr:cNvPr>
        <xdr:cNvSpPr txBox="1"/>
      </xdr:nvSpPr>
      <xdr:spPr>
        <a:xfrm>
          <a:off x="489442" y="13266127"/>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LIVIA A. LAREZA</a:t>
          </a:r>
          <a:endParaRPr lang="en-PH" sz="1000">
            <a:effectLst/>
            <a:latin typeface="Candara" panose="020E0502030303020204" pitchFamily="34" charset="0"/>
          </a:endParaRPr>
        </a:p>
        <a:p>
          <a:r>
            <a:rPr lang="en-PH" sz="1000" baseline="0">
              <a:solidFill>
                <a:schemeClr val="dk1"/>
              </a:solidFill>
              <a:effectLst/>
              <a:latin typeface="Candara" panose="020E0502030303020204" pitchFamily="34" charset="0"/>
              <a:ea typeface="+mn-ea"/>
              <a:cs typeface="+mn-cs"/>
            </a:rPr>
            <a:t>OIC - City Planning &amp; Development </a:t>
          </a:r>
          <a:endParaRPr lang="en-PH" sz="1000">
            <a:effectLst/>
            <a:latin typeface="Candara" panose="020E0502030303020204" pitchFamily="34" charset="0"/>
          </a:endParaRPr>
        </a:p>
        <a:p>
          <a:r>
            <a:rPr lang="en-PH" sz="1000" baseline="0">
              <a:solidFill>
                <a:schemeClr val="dk1"/>
              </a:solidFill>
              <a:effectLst/>
              <a:latin typeface="Candara" panose="020E0502030303020204" pitchFamily="34" charset="0"/>
              <a:ea typeface="+mn-ea"/>
              <a:cs typeface="+mn-cs"/>
            </a:rPr>
            <a:t>Coordinator</a:t>
          </a:r>
          <a:endParaRPr lang="en-PH" sz="1000">
            <a:effectLst/>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492240</xdr:colOff>
      <xdr:row>52</xdr:row>
      <xdr:rowOff>16119</xdr:rowOff>
    </xdr:from>
    <xdr:to>
      <xdr:col>6</xdr:col>
      <xdr:colOff>858182</xdr:colOff>
      <xdr:row>59</xdr:row>
      <xdr:rowOff>54219</xdr:rowOff>
    </xdr:to>
    <xdr:sp macro="" textlink="">
      <xdr:nvSpPr>
        <xdr:cNvPr id="2" name="TextBox 1">
          <a:extLst>
            <a:ext uri="{FF2B5EF4-FFF2-40B4-BE49-F238E27FC236}">
              <a16:creationId xmlns="" xmlns:a16="http://schemas.microsoft.com/office/drawing/2014/main" id="{00000000-0008-0000-1000-000002000000}"/>
            </a:ext>
          </a:extLst>
        </xdr:cNvPr>
        <xdr:cNvSpPr txBox="1"/>
      </xdr:nvSpPr>
      <xdr:spPr>
        <a:xfrm>
          <a:off x="492240" y="13761427"/>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SALVACION</a:t>
          </a:r>
          <a:r>
            <a:rPr lang="en-PH" sz="1000" b="1" baseline="0">
              <a:solidFill>
                <a:schemeClr val="dk1"/>
              </a:solidFill>
              <a:effectLst/>
              <a:latin typeface="Candara" panose="020E0502030303020204" pitchFamily="34" charset="0"/>
              <a:ea typeface="+mn-ea"/>
              <a:cs typeface="+mn-cs"/>
            </a:rPr>
            <a:t> E. MORALEDA</a:t>
          </a:r>
          <a:endParaRPr lang="en-PH" sz="1000">
            <a:effectLst/>
            <a:latin typeface="Candara" panose="020E0502030303020204" pitchFamily="34" charset="0"/>
          </a:endParaRPr>
        </a:p>
        <a:p>
          <a:pPr algn="l"/>
          <a:r>
            <a:rPr lang="en-PH" sz="1000" baseline="0">
              <a:solidFill>
                <a:schemeClr val="dk1"/>
              </a:solidFill>
              <a:effectLst/>
              <a:latin typeface="Candara" panose="020E0502030303020204" pitchFamily="34" charset="0"/>
              <a:ea typeface="+mn-ea"/>
              <a:cs typeface="+mn-cs"/>
            </a:rPr>
            <a:t>City Civil Registrar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480002</xdr:colOff>
      <xdr:row>82</xdr:row>
      <xdr:rowOff>16636</xdr:rowOff>
    </xdr:from>
    <xdr:to>
      <xdr:col>6</xdr:col>
      <xdr:colOff>845944</xdr:colOff>
      <xdr:row>87</xdr:row>
      <xdr:rowOff>115956</xdr:rowOff>
    </xdr:to>
    <xdr:sp macro="" textlink="">
      <xdr:nvSpPr>
        <xdr:cNvPr id="2" name="TextBox 1">
          <a:extLst>
            <a:ext uri="{FF2B5EF4-FFF2-40B4-BE49-F238E27FC236}">
              <a16:creationId xmlns="" xmlns:a16="http://schemas.microsoft.com/office/drawing/2014/main" id="{054ABCAF-6251-46A8-9F71-B0DD1311D651}"/>
            </a:ext>
          </a:extLst>
        </xdr:cNvPr>
        <xdr:cNvSpPr txBox="1"/>
      </xdr:nvSpPr>
      <xdr:spPr>
        <a:xfrm>
          <a:off x="480002" y="17393549"/>
          <a:ext cx="7638072" cy="13499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eaLnBrk="1" fontAlgn="auto" latinLnBrk="0" hangingPunct="1"/>
          <a:r>
            <a:rPr lang="en-PH" sz="1000" b="1" i="0" baseline="0">
              <a:solidFill>
                <a:schemeClr val="dk1"/>
              </a:solidFill>
              <a:effectLst/>
              <a:latin typeface="Candara" panose="020E0502030303020204" pitchFamily="34" charset="0"/>
              <a:ea typeface="+mn-ea"/>
              <a:cs typeface="+mn-cs"/>
            </a:rPr>
            <a:t>GERALD L. MALIGASO</a:t>
          </a:r>
          <a:endParaRPr lang="en-PH" sz="1000">
            <a:effectLst/>
            <a:latin typeface="Candara" panose="020E0502030303020204" pitchFamily="34" charset="0"/>
          </a:endParaRPr>
        </a:p>
        <a:p>
          <a:pPr algn="l"/>
          <a:r>
            <a:rPr lang="en-PH" sz="1000" b="0" i="0" baseline="0">
              <a:latin typeface="Candara" panose="020E0502030303020204" pitchFamily="34" charset="0"/>
            </a:rPr>
            <a:t>City Gen. Services Officer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223254</xdr:colOff>
      <xdr:row>66</xdr:row>
      <xdr:rowOff>65884</xdr:rowOff>
    </xdr:from>
    <xdr:to>
      <xdr:col>6</xdr:col>
      <xdr:colOff>589196</xdr:colOff>
      <xdr:row>73</xdr:row>
      <xdr:rowOff>103984</xdr:rowOff>
    </xdr:to>
    <xdr:sp macro="" textlink="">
      <xdr:nvSpPr>
        <xdr:cNvPr id="3" name="TextBox 2">
          <a:extLst>
            <a:ext uri="{FF2B5EF4-FFF2-40B4-BE49-F238E27FC236}">
              <a16:creationId xmlns="" xmlns:a16="http://schemas.microsoft.com/office/drawing/2014/main" id="{F06D0535-16FA-4D0B-872B-1E0AA4195720}"/>
            </a:ext>
          </a:extLst>
        </xdr:cNvPr>
        <xdr:cNvSpPr txBox="1"/>
      </xdr:nvSpPr>
      <xdr:spPr>
        <a:xfrm>
          <a:off x="223254" y="15912020"/>
          <a:ext cx="7700192"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ORLANDO F. HUENDA</a:t>
          </a:r>
          <a:endParaRPr lang="en-PH" sz="1000">
            <a:effectLst/>
            <a:latin typeface="Candara" panose="020E0502030303020204" pitchFamily="34" charset="0"/>
          </a:endParaRPr>
        </a:p>
        <a:p>
          <a:r>
            <a:rPr lang="en-PH" sz="1000" baseline="0">
              <a:solidFill>
                <a:schemeClr val="dk1"/>
              </a:solidFill>
              <a:effectLst/>
              <a:latin typeface="Candara" panose="020E0502030303020204" pitchFamily="34" charset="0"/>
              <a:ea typeface="+mn-ea"/>
              <a:cs typeface="+mn-cs"/>
            </a:rPr>
            <a:t>City Planning &amp; Development </a:t>
          </a:r>
          <a:endParaRPr lang="en-PH" sz="1000">
            <a:effectLst/>
            <a:latin typeface="Candara" panose="020E0502030303020204" pitchFamily="34" charset="0"/>
          </a:endParaRPr>
        </a:p>
        <a:p>
          <a:r>
            <a:rPr lang="en-PH" sz="1000" baseline="0">
              <a:solidFill>
                <a:schemeClr val="dk1"/>
              </a:solidFill>
              <a:effectLst/>
              <a:latin typeface="Candara" panose="020E0502030303020204" pitchFamily="34" charset="0"/>
              <a:ea typeface="+mn-ea"/>
              <a:cs typeface="+mn-cs"/>
            </a:rPr>
            <a:t>Coordinator</a:t>
          </a:r>
          <a:endParaRPr lang="en-PH" sz="1000">
            <a:effectLst/>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476813</xdr:colOff>
      <xdr:row>51</xdr:row>
      <xdr:rowOff>6163</xdr:rowOff>
    </xdr:from>
    <xdr:to>
      <xdr:col>6</xdr:col>
      <xdr:colOff>842755</xdr:colOff>
      <xdr:row>58</xdr:row>
      <xdr:rowOff>44263</xdr:rowOff>
    </xdr:to>
    <xdr:sp macro="" textlink="">
      <xdr:nvSpPr>
        <xdr:cNvPr id="2" name="TextBox 1">
          <a:extLst>
            <a:ext uri="{FF2B5EF4-FFF2-40B4-BE49-F238E27FC236}">
              <a16:creationId xmlns="" xmlns:a16="http://schemas.microsoft.com/office/drawing/2014/main" id="{00000000-0008-0000-1300-000002000000}"/>
            </a:ext>
          </a:extLst>
        </xdr:cNvPr>
        <xdr:cNvSpPr txBox="1"/>
      </xdr:nvSpPr>
      <xdr:spPr>
        <a:xfrm>
          <a:off x="476813" y="14703971"/>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endParaRPr lang="en-PH" sz="1000" b="0" i="1">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501162</xdr:colOff>
      <xdr:row>50</xdr:row>
      <xdr:rowOff>18318</xdr:rowOff>
    </xdr:from>
    <xdr:to>
      <xdr:col>6</xdr:col>
      <xdr:colOff>867104</xdr:colOff>
      <xdr:row>57</xdr:row>
      <xdr:rowOff>56418</xdr:rowOff>
    </xdr:to>
    <xdr:sp macro="" textlink="">
      <xdr:nvSpPr>
        <xdr:cNvPr id="2" name="TextBox 1">
          <a:extLst>
            <a:ext uri="{FF2B5EF4-FFF2-40B4-BE49-F238E27FC236}">
              <a16:creationId xmlns="" xmlns:a16="http://schemas.microsoft.com/office/drawing/2014/main" id="{00000000-0008-0000-1400-000002000000}"/>
            </a:ext>
          </a:extLst>
        </xdr:cNvPr>
        <xdr:cNvSpPr txBox="1"/>
      </xdr:nvSpPr>
      <xdr:spPr>
        <a:xfrm>
          <a:off x="501162" y="13455895"/>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baseline="0">
              <a:solidFill>
                <a:schemeClr val="dk1"/>
              </a:solidFill>
              <a:effectLst/>
              <a:latin typeface="Candara" panose="020E0502030303020204" pitchFamily="34" charset="0"/>
              <a:ea typeface="+mn-ea"/>
              <a:cs typeface="+mn-cs"/>
            </a:rPr>
            <a:t>CHRISTINE N. MERALPES</a:t>
          </a:r>
          <a:endParaRPr lang="en-PH" sz="1000" b="1">
            <a:solidFill>
              <a:schemeClr val="dk1"/>
            </a:solidFill>
            <a:effectLst/>
            <a:latin typeface="Candara" panose="020E0502030303020204" pitchFamily="34" charset="0"/>
            <a:ea typeface="+mn-ea"/>
            <a:cs typeface="+mn-cs"/>
          </a:endParaRPr>
        </a:p>
        <a:p>
          <a:pPr algn="l"/>
          <a:r>
            <a:rPr lang="en-PH" sz="1000" b="0" i="0" baseline="0">
              <a:latin typeface="Candara" panose="020E0502030303020204" pitchFamily="34" charset="0"/>
            </a:rPr>
            <a:t>City Accountant</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480161</xdr:colOff>
      <xdr:row>62</xdr:row>
      <xdr:rowOff>13921</xdr:rowOff>
    </xdr:from>
    <xdr:to>
      <xdr:col>6</xdr:col>
      <xdr:colOff>846103</xdr:colOff>
      <xdr:row>69</xdr:row>
      <xdr:rowOff>52021</xdr:rowOff>
    </xdr:to>
    <xdr:sp macro="" textlink="">
      <xdr:nvSpPr>
        <xdr:cNvPr id="2" name="TextBox 1">
          <a:extLst>
            <a:ext uri="{FF2B5EF4-FFF2-40B4-BE49-F238E27FC236}">
              <a16:creationId xmlns="" xmlns:a16="http://schemas.microsoft.com/office/drawing/2014/main" id="{00000000-0008-0000-1500-000002000000}"/>
            </a:ext>
          </a:extLst>
        </xdr:cNvPr>
        <xdr:cNvSpPr txBox="1"/>
      </xdr:nvSpPr>
      <xdr:spPr>
        <a:xfrm>
          <a:off x="480161" y="15737498"/>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MAGDALENA</a:t>
          </a:r>
          <a:r>
            <a:rPr lang="en-PH" sz="1000" b="1" baseline="0">
              <a:solidFill>
                <a:schemeClr val="dk1"/>
              </a:solidFill>
              <a:effectLst/>
              <a:latin typeface="Candara" panose="020E0502030303020204" pitchFamily="34" charset="0"/>
              <a:ea typeface="+mn-ea"/>
              <a:cs typeface="+mn-cs"/>
            </a:rPr>
            <a:t> D. PALADIN</a:t>
          </a:r>
          <a:endParaRPr lang="en-PH" sz="1000" b="1">
            <a:solidFill>
              <a:schemeClr val="dk1"/>
            </a:solidFill>
            <a:effectLst/>
            <a:latin typeface="Candara" panose="020E0502030303020204" pitchFamily="34" charset="0"/>
            <a:ea typeface="+mn-ea"/>
            <a:cs typeface="+mn-cs"/>
          </a:endParaRPr>
        </a:p>
        <a:p>
          <a:pPr algn="l"/>
          <a:r>
            <a:rPr lang="en-PH" sz="1000" b="0" i="0" baseline="0">
              <a:latin typeface="Candara" panose="020E0502030303020204" pitchFamily="34" charset="0"/>
            </a:rPr>
            <a:t>City Treasurer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endParaRPr lang="en-PH" sz="1000" b="0" baseline="0">
            <a:latin typeface="Candara" panose="020E0502030303020204" pitchFamily="34" charset="0"/>
          </a:endParaRPr>
        </a:p>
        <a:p>
          <a:pPr algn="l"/>
          <a:r>
            <a:rPr lang="en-PH" sz="1000" b="0" baseline="0">
              <a:latin typeface="Candara" panose="020E0502030303020204" pitchFamily="34" charset="0"/>
            </a:rPr>
            <a:t>City Mayor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517798</xdr:colOff>
      <xdr:row>57</xdr:row>
      <xdr:rowOff>20214</xdr:rowOff>
    </xdr:from>
    <xdr:to>
      <xdr:col>6</xdr:col>
      <xdr:colOff>883740</xdr:colOff>
      <xdr:row>64</xdr:row>
      <xdr:rowOff>58314</xdr:rowOff>
    </xdr:to>
    <xdr:sp macro="" textlink="">
      <xdr:nvSpPr>
        <xdr:cNvPr id="2" name="TextBox 1">
          <a:extLst>
            <a:ext uri="{FF2B5EF4-FFF2-40B4-BE49-F238E27FC236}">
              <a16:creationId xmlns="" xmlns:a16="http://schemas.microsoft.com/office/drawing/2014/main" id="{00000000-0008-0000-1700-000002000000}"/>
            </a:ext>
          </a:extLst>
        </xdr:cNvPr>
        <xdr:cNvSpPr txBox="1"/>
      </xdr:nvSpPr>
      <xdr:spPr>
        <a:xfrm>
          <a:off x="517798" y="14600791"/>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OLIMPIO S. ROMERO, JR.</a:t>
          </a:r>
        </a:p>
        <a:p>
          <a:pPr algn="l"/>
          <a:r>
            <a:rPr lang="en-PH" sz="1000" b="0" i="0" baseline="0">
              <a:latin typeface="Candara" panose="020E0502030303020204" pitchFamily="34" charset="0"/>
            </a:rPr>
            <a:t>OIC - City Assessor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381000</xdr:colOff>
      <xdr:row>46</xdr:row>
      <xdr:rowOff>0</xdr:rowOff>
    </xdr:from>
    <xdr:to>
      <xdr:col>6</xdr:col>
      <xdr:colOff>746942</xdr:colOff>
      <xdr:row>53</xdr:row>
      <xdr:rowOff>38100</xdr:rowOff>
    </xdr:to>
    <xdr:sp macro="" textlink="">
      <xdr:nvSpPr>
        <xdr:cNvPr id="4" name="TextBox 3">
          <a:extLst>
            <a:ext uri="{FF2B5EF4-FFF2-40B4-BE49-F238E27FC236}">
              <a16:creationId xmlns="" xmlns:a16="http://schemas.microsoft.com/office/drawing/2014/main" id="{8E3504FD-6B14-40AC-B4EE-B9F74B920A32}"/>
            </a:ext>
          </a:extLst>
        </xdr:cNvPr>
        <xdr:cNvSpPr txBox="1"/>
      </xdr:nvSpPr>
      <xdr:spPr>
        <a:xfrm>
          <a:off x="381000" y="11040717"/>
          <a:ext cx="7638072"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RAMIL A. MARIANITO</a:t>
          </a:r>
        </a:p>
        <a:p>
          <a:pPr algn="l"/>
          <a:r>
            <a:rPr lang="en-PH" sz="1000" b="0" i="0" baseline="0">
              <a:latin typeface="Candara" panose="020E0502030303020204" pitchFamily="34" charset="0"/>
            </a:rPr>
            <a:t>OIC - City Public Iinformation</a:t>
          </a:r>
        </a:p>
        <a:p>
          <a:pPr algn="l"/>
          <a:r>
            <a:rPr lang="en-PH" sz="1000" b="0" i="0" baseline="0">
              <a:latin typeface="Candara" panose="020E0502030303020204" pitchFamily="34" charset="0"/>
            </a:rPr>
            <a:t>Officer</a:t>
          </a:r>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219075</xdr:colOff>
      <xdr:row>51</xdr:row>
      <xdr:rowOff>38100</xdr:rowOff>
    </xdr:from>
    <xdr:to>
      <xdr:col>6</xdr:col>
      <xdr:colOff>576806</xdr:colOff>
      <xdr:row>58</xdr:row>
      <xdr:rowOff>76200</xdr:rowOff>
    </xdr:to>
    <xdr:sp macro="" textlink="">
      <xdr:nvSpPr>
        <xdr:cNvPr id="3" name="TextBox 2">
          <a:extLst>
            <a:ext uri="{FF2B5EF4-FFF2-40B4-BE49-F238E27FC236}">
              <a16:creationId xmlns="" xmlns:a16="http://schemas.microsoft.com/office/drawing/2014/main" id="{E874EFA6-80E0-468E-953B-5C9D31E99157}"/>
            </a:ext>
          </a:extLst>
        </xdr:cNvPr>
        <xdr:cNvSpPr txBox="1"/>
      </xdr:nvSpPr>
      <xdr:spPr>
        <a:xfrm>
          <a:off x="219075" y="13420725"/>
          <a:ext cx="7644356"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ATTY.</a:t>
          </a:r>
          <a:r>
            <a:rPr lang="en-PH" sz="1000" b="1" baseline="0">
              <a:solidFill>
                <a:schemeClr val="dk1"/>
              </a:solidFill>
              <a:effectLst/>
              <a:latin typeface="Candara" panose="020E0502030303020204" pitchFamily="34" charset="0"/>
              <a:ea typeface="+mn-ea"/>
              <a:cs typeface="+mn-cs"/>
            </a:rPr>
            <a:t> CYRIL D. OROPESA</a:t>
          </a:r>
          <a:endParaRPr lang="en-PH" sz="1000" b="1">
            <a:solidFill>
              <a:schemeClr val="dk1"/>
            </a:solidFill>
            <a:effectLst/>
            <a:latin typeface="Candara" panose="020E0502030303020204" pitchFamily="34" charset="0"/>
            <a:ea typeface="+mn-ea"/>
            <a:cs typeface="+mn-cs"/>
          </a:endParaRPr>
        </a:p>
        <a:p>
          <a:pPr algn="l"/>
          <a:r>
            <a:rPr lang="en-PH" sz="1000" b="0" i="0" baseline="0">
              <a:latin typeface="Candara" panose="020E0502030303020204" pitchFamily="34" charset="0"/>
            </a:rPr>
            <a:t>City Legal Officer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464144</xdr:colOff>
      <xdr:row>85</xdr:row>
      <xdr:rowOff>1681</xdr:rowOff>
    </xdr:from>
    <xdr:to>
      <xdr:col>6</xdr:col>
      <xdr:colOff>813840</xdr:colOff>
      <xdr:row>92</xdr:row>
      <xdr:rowOff>39781</xdr:rowOff>
    </xdr:to>
    <xdr:sp macro="" textlink="">
      <xdr:nvSpPr>
        <xdr:cNvPr id="2" name="TextBox 1">
          <a:extLst>
            <a:ext uri="{FF2B5EF4-FFF2-40B4-BE49-F238E27FC236}">
              <a16:creationId xmlns="" xmlns:a16="http://schemas.microsoft.com/office/drawing/2014/main" id="{EF0FBB4F-FFB2-4200-BFA1-34770D67C3E4}"/>
            </a:ext>
          </a:extLst>
        </xdr:cNvPr>
        <xdr:cNvSpPr txBox="1"/>
      </xdr:nvSpPr>
      <xdr:spPr>
        <a:xfrm>
          <a:off x="464144" y="17107803"/>
          <a:ext cx="7726711" cy="13988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ROLANDO E. DEALCA, MD</a:t>
          </a:r>
        </a:p>
        <a:p>
          <a:pPr algn="l"/>
          <a:r>
            <a:rPr lang="en-PH" sz="1000" b="0" i="0" baseline="0">
              <a:latin typeface="Candara" panose="020E0502030303020204" pitchFamily="34" charset="0"/>
            </a:rPr>
            <a:t>OIC - City Health Officer</a:t>
          </a:r>
        </a:p>
        <a:p>
          <a:pPr algn="l"/>
          <a:r>
            <a:rPr lang="en-PH" sz="1000" b="0" i="0" baseline="0">
              <a:latin typeface="Candara" panose="020E0502030303020204" pitchFamily="34" charset="0"/>
            </a:rPr>
            <a:t>                </a:t>
          </a:r>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493839</xdr:colOff>
      <xdr:row>91</xdr:row>
      <xdr:rowOff>13188</xdr:rowOff>
    </xdr:from>
    <xdr:to>
      <xdr:col>6</xdr:col>
      <xdr:colOff>859781</xdr:colOff>
      <xdr:row>98</xdr:row>
      <xdr:rowOff>51288</xdr:rowOff>
    </xdr:to>
    <xdr:sp macro="" textlink="">
      <xdr:nvSpPr>
        <xdr:cNvPr id="2" name="TextBox 1">
          <a:extLst>
            <a:ext uri="{FF2B5EF4-FFF2-40B4-BE49-F238E27FC236}">
              <a16:creationId xmlns="" xmlns:a16="http://schemas.microsoft.com/office/drawing/2014/main" id="{00000000-0008-0000-1800-000002000000}"/>
            </a:ext>
          </a:extLst>
        </xdr:cNvPr>
        <xdr:cNvSpPr txBox="1"/>
      </xdr:nvSpPr>
      <xdr:spPr>
        <a:xfrm>
          <a:off x="493839" y="19158438"/>
          <a:ext cx="7824017"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JOSIE L. JADIE</a:t>
          </a:r>
        </a:p>
        <a:p>
          <a:pPr algn="l"/>
          <a:r>
            <a:rPr lang="en-PH" sz="1000" b="0" i="0" baseline="0">
              <a:latin typeface="Candara" panose="020E0502030303020204" pitchFamily="34" charset="0"/>
            </a:rPr>
            <a:t>City Social Welfare &amp; Development</a:t>
          </a:r>
        </a:p>
        <a:p>
          <a:pPr algn="l"/>
          <a:r>
            <a:rPr lang="en-PH" sz="1000" b="0" i="0" baseline="0">
              <a:latin typeface="Candara" panose="020E0502030303020204" pitchFamily="34" charset="0"/>
            </a:rPr>
            <a:t>Officer</a:t>
          </a: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475733</xdr:colOff>
      <xdr:row>64</xdr:row>
      <xdr:rowOff>5776</xdr:rowOff>
    </xdr:from>
    <xdr:to>
      <xdr:col>6</xdr:col>
      <xdr:colOff>841675</xdr:colOff>
      <xdr:row>71</xdr:row>
      <xdr:rowOff>43876</xdr:rowOff>
    </xdr:to>
    <xdr:sp macro="" textlink="">
      <xdr:nvSpPr>
        <xdr:cNvPr id="2" name="TextBox 1">
          <a:extLst>
            <a:ext uri="{FF2B5EF4-FFF2-40B4-BE49-F238E27FC236}">
              <a16:creationId xmlns="" xmlns:a16="http://schemas.microsoft.com/office/drawing/2014/main" id="{00000000-0008-0000-1900-000002000000}"/>
            </a:ext>
          </a:extLst>
        </xdr:cNvPr>
        <xdr:cNvSpPr txBox="1"/>
      </xdr:nvSpPr>
      <xdr:spPr>
        <a:xfrm>
          <a:off x="475733" y="14144189"/>
          <a:ext cx="7638072"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ADELINE J. DETERA</a:t>
          </a:r>
        </a:p>
        <a:p>
          <a:pPr algn="l"/>
          <a:r>
            <a:rPr lang="en-PH" sz="1000" b="0" i="0" baseline="0">
              <a:latin typeface="Candara" panose="020E0502030303020204" pitchFamily="34" charset="0"/>
            </a:rPr>
            <a:t>City Agriculturist</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494699</xdr:colOff>
      <xdr:row>66</xdr:row>
      <xdr:rowOff>12154</xdr:rowOff>
    </xdr:from>
    <xdr:to>
      <xdr:col>6</xdr:col>
      <xdr:colOff>860641</xdr:colOff>
      <xdr:row>71</xdr:row>
      <xdr:rowOff>397565</xdr:rowOff>
    </xdr:to>
    <xdr:sp macro="" textlink="">
      <xdr:nvSpPr>
        <xdr:cNvPr id="2" name="TextBox 1">
          <a:extLst>
            <a:ext uri="{FF2B5EF4-FFF2-40B4-BE49-F238E27FC236}">
              <a16:creationId xmlns="" xmlns:a16="http://schemas.microsoft.com/office/drawing/2014/main" id="{00000000-0008-0000-1A00-000002000000}"/>
            </a:ext>
          </a:extLst>
        </xdr:cNvPr>
        <xdr:cNvSpPr txBox="1"/>
      </xdr:nvSpPr>
      <xdr:spPr>
        <a:xfrm>
          <a:off x="494699" y="15293567"/>
          <a:ext cx="7638072" cy="13379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DR. ALEXANDER</a:t>
          </a:r>
          <a:r>
            <a:rPr lang="en-PH" sz="1000" b="1" baseline="0">
              <a:solidFill>
                <a:schemeClr val="dk1"/>
              </a:solidFill>
              <a:effectLst/>
              <a:latin typeface="Candara" panose="020E0502030303020204" pitchFamily="34" charset="0"/>
              <a:ea typeface="+mn-ea"/>
              <a:cs typeface="+mn-cs"/>
            </a:rPr>
            <a:t> S. DESTURA</a:t>
          </a:r>
          <a:endParaRPr lang="en-PH" sz="1000" b="1">
            <a:solidFill>
              <a:schemeClr val="dk1"/>
            </a:solidFill>
            <a:effectLst/>
            <a:latin typeface="Candara" panose="020E0502030303020204" pitchFamily="34" charset="0"/>
            <a:ea typeface="+mn-ea"/>
            <a:cs typeface="+mn-cs"/>
          </a:endParaRPr>
        </a:p>
        <a:p>
          <a:pPr algn="l"/>
          <a:r>
            <a:rPr lang="en-PH" sz="1000" b="0" i="0" baseline="0">
              <a:latin typeface="Candara" panose="020E0502030303020204" pitchFamily="34" charset="0"/>
            </a:rPr>
            <a:t>City Veterinarian</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42</xdr:row>
      <xdr:rowOff>57149</xdr:rowOff>
    </xdr:from>
    <xdr:to>
      <xdr:col>6</xdr:col>
      <xdr:colOff>409725</xdr:colOff>
      <xdr:row>49</xdr:row>
      <xdr:rowOff>95249</xdr:rowOff>
    </xdr:to>
    <xdr:sp macro="" textlink="">
      <xdr:nvSpPr>
        <xdr:cNvPr id="3" name="TextBox 2">
          <a:extLst>
            <a:ext uri="{FF2B5EF4-FFF2-40B4-BE49-F238E27FC236}">
              <a16:creationId xmlns="" xmlns:a16="http://schemas.microsoft.com/office/drawing/2014/main" id="{B5B5E8D1-775D-48F9-AC7D-9925CD379E41}"/>
            </a:ext>
          </a:extLst>
        </xdr:cNvPr>
        <xdr:cNvSpPr txBox="1"/>
      </xdr:nvSpPr>
      <xdr:spPr>
        <a:xfrm>
          <a:off x="361950" y="16916399"/>
          <a:ext cx="76392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r>
            <a:rPr lang="en-PH" sz="1000" b="1" baseline="0">
              <a:solidFill>
                <a:schemeClr val="dk1"/>
              </a:solidFill>
              <a:effectLst/>
              <a:latin typeface="Candara" panose="020E0502030303020204" pitchFamily="34" charset="0"/>
              <a:ea typeface="+mn-ea"/>
              <a:cs typeface="+mn-cs"/>
            </a:rPr>
            <a:t>LUISITO H. MENDOZA, JR.</a:t>
          </a:r>
          <a:endParaRPr lang="en-PH" sz="1000">
            <a:effectLst/>
            <a:latin typeface="Candara" panose="020E0502030303020204" pitchFamily="34" charset="0"/>
          </a:endParaRPr>
        </a:p>
        <a:p>
          <a:pPr algn="l"/>
          <a:r>
            <a:rPr lang="en-PH" sz="1000" b="0" baseline="0">
              <a:solidFill>
                <a:schemeClr val="dk1"/>
              </a:solidFill>
              <a:effectLst/>
              <a:latin typeface="Candara" panose="020E0502030303020204" pitchFamily="34" charset="0"/>
              <a:ea typeface="+mn-ea"/>
              <a:cs typeface="+mn-cs"/>
            </a:rPr>
            <a:t>OIC - CDRRM Officer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494567</xdr:colOff>
      <xdr:row>48</xdr:row>
      <xdr:rowOff>36504</xdr:rowOff>
    </xdr:from>
    <xdr:to>
      <xdr:col>6</xdr:col>
      <xdr:colOff>860509</xdr:colOff>
      <xdr:row>55</xdr:row>
      <xdr:rowOff>74604</xdr:rowOff>
    </xdr:to>
    <xdr:sp macro="" textlink="">
      <xdr:nvSpPr>
        <xdr:cNvPr id="2" name="TextBox 1">
          <a:extLst>
            <a:ext uri="{FF2B5EF4-FFF2-40B4-BE49-F238E27FC236}">
              <a16:creationId xmlns="" xmlns:a16="http://schemas.microsoft.com/office/drawing/2014/main" id="{00000000-0008-0000-1E00-000002000000}"/>
            </a:ext>
          </a:extLst>
        </xdr:cNvPr>
        <xdr:cNvSpPr txBox="1"/>
      </xdr:nvSpPr>
      <xdr:spPr>
        <a:xfrm>
          <a:off x="494567" y="12659200"/>
          <a:ext cx="7638072"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RONANDO F. GERONA, JR.</a:t>
          </a:r>
        </a:p>
        <a:p>
          <a:pPr algn="l"/>
          <a:r>
            <a:rPr lang="en-PH" sz="1000" b="0" i="0" baseline="0">
              <a:latin typeface="Candara" panose="020E0502030303020204" pitchFamily="34" charset="0"/>
            </a:rPr>
            <a:t>City ENRO</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462585</xdr:colOff>
      <xdr:row>63</xdr:row>
      <xdr:rowOff>9257</xdr:rowOff>
    </xdr:from>
    <xdr:to>
      <xdr:col>6</xdr:col>
      <xdr:colOff>812281</xdr:colOff>
      <xdr:row>70</xdr:row>
      <xdr:rowOff>47357</xdr:rowOff>
    </xdr:to>
    <xdr:sp macro="" textlink="">
      <xdr:nvSpPr>
        <xdr:cNvPr id="2" name="TextBox 1">
          <a:extLst>
            <a:ext uri="{FF2B5EF4-FFF2-40B4-BE49-F238E27FC236}">
              <a16:creationId xmlns="" xmlns:a16="http://schemas.microsoft.com/office/drawing/2014/main" id="{00000000-0008-0000-1B00-000002000000}"/>
            </a:ext>
          </a:extLst>
        </xdr:cNvPr>
        <xdr:cNvSpPr txBox="1"/>
      </xdr:nvSpPr>
      <xdr:spPr>
        <a:xfrm>
          <a:off x="462585" y="14959366"/>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eaLnBrk="1" fontAlgn="auto" latinLnBrk="0" hangingPunct="1"/>
          <a:r>
            <a:rPr lang="en-PH" sz="1000" b="1" baseline="0">
              <a:solidFill>
                <a:schemeClr val="dk1"/>
              </a:solidFill>
              <a:effectLst/>
              <a:latin typeface="Candara" panose="020E0502030303020204" pitchFamily="34" charset="0"/>
              <a:ea typeface="+mn-ea"/>
              <a:cs typeface="+mn-cs"/>
            </a:rPr>
            <a:t>ENGR. ROEL D. DOMER</a:t>
          </a:r>
          <a:endParaRPr lang="en-PH" sz="1000">
            <a:effectLst/>
            <a:latin typeface="Candara" panose="020E0502030303020204" pitchFamily="34" charset="0"/>
          </a:endParaRPr>
        </a:p>
        <a:p>
          <a:pPr algn="l"/>
          <a:r>
            <a:rPr lang="en-PH" sz="1000" b="0" i="0" baseline="0">
              <a:latin typeface="Candara" panose="020E0502030303020204" pitchFamily="34" charset="0"/>
            </a:rPr>
            <a:t>OIC - City Engineer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498533</xdr:colOff>
      <xdr:row>47</xdr:row>
      <xdr:rowOff>16467</xdr:rowOff>
    </xdr:from>
    <xdr:to>
      <xdr:col>6</xdr:col>
      <xdr:colOff>864475</xdr:colOff>
      <xdr:row>54</xdr:row>
      <xdr:rowOff>54567</xdr:rowOff>
    </xdr:to>
    <xdr:sp macro="" textlink="">
      <xdr:nvSpPr>
        <xdr:cNvPr id="2" name="TextBox 1">
          <a:extLst>
            <a:ext uri="{FF2B5EF4-FFF2-40B4-BE49-F238E27FC236}">
              <a16:creationId xmlns="" xmlns:a16="http://schemas.microsoft.com/office/drawing/2014/main" id="{15D7DBB6-5F80-466F-8238-74BA5CEEDBAB}"/>
            </a:ext>
          </a:extLst>
        </xdr:cNvPr>
        <xdr:cNvSpPr txBox="1"/>
      </xdr:nvSpPr>
      <xdr:spPr>
        <a:xfrm>
          <a:off x="498533" y="13780092"/>
          <a:ext cx="7652567"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CHRISTIAN D. SANCHEZ</a:t>
          </a:r>
        </a:p>
        <a:p>
          <a:pPr algn="l"/>
          <a:r>
            <a:rPr lang="en-PH" sz="1000" b="0" i="0" baseline="0">
              <a:latin typeface="Candara" panose="020E0502030303020204" pitchFamily="34" charset="0"/>
            </a:rPr>
            <a:t>Market Supervisor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329715</xdr:colOff>
      <xdr:row>26</xdr:row>
      <xdr:rowOff>43962</xdr:rowOff>
    </xdr:from>
    <xdr:to>
      <xdr:col>6</xdr:col>
      <xdr:colOff>677499</xdr:colOff>
      <xdr:row>33</xdr:row>
      <xdr:rowOff>82062</xdr:rowOff>
    </xdr:to>
    <xdr:sp macro="" textlink="">
      <xdr:nvSpPr>
        <xdr:cNvPr id="4" name="TextBox 3">
          <a:extLst>
            <a:ext uri="{FF2B5EF4-FFF2-40B4-BE49-F238E27FC236}">
              <a16:creationId xmlns="" xmlns:a16="http://schemas.microsoft.com/office/drawing/2014/main" id="{AF05CF2A-4237-4C8D-B89F-373CEE6BE176}"/>
            </a:ext>
          </a:extLst>
        </xdr:cNvPr>
        <xdr:cNvSpPr txBox="1"/>
      </xdr:nvSpPr>
      <xdr:spPr>
        <a:xfrm>
          <a:off x="329715" y="7158404"/>
          <a:ext cx="7638072"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solidFill>
                <a:schemeClr val="dk1"/>
              </a:solidFill>
              <a:effectLst/>
              <a:latin typeface="Candara" panose="020E0502030303020204" pitchFamily="34" charset="0"/>
              <a:ea typeface="+mn-ea"/>
              <a:cs typeface="+mn-cs"/>
            </a:rPr>
            <a:t>Prepared:</a:t>
          </a:r>
        </a:p>
        <a:p>
          <a:pPr algn="l"/>
          <a:endParaRPr lang="en-PH" sz="1000" b="1">
            <a:effectLst/>
            <a:latin typeface="Candara" panose="020E0502030303020204" pitchFamily="34" charset="0"/>
          </a:endParaRPr>
        </a:p>
        <a:p>
          <a:pPr algn="l"/>
          <a:endParaRPr lang="en-PH" sz="1000" b="1">
            <a:effectLst/>
            <a:latin typeface="Candara" panose="020E0502030303020204" pitchFamily="34" charset="0"/>
          </a:endParaRPr>
        </a:p>
        <a:p>
          <a:pPr algn="l"/>
          <a:endParaRPr lang="en-PH" sz="1000" b="1">
            <a:effectLst/>
            <a:latin typeface="Candara" panose="020E0502030303020204" pitchFamily="34" charset="0"/>
          </a:endParaRPr>
        </a:p>
        <a:p>
          <a:pPr algn="l"/>
          <a:r>
            <a:rPr lang="en-PH" sz="1000" b="1">
              <a:effectLst/>
              <a:latin typeface="Candara" panose="020E0502030303020204" pitchFamily="34" charset="0"/>
            </a:rPr>
            <a:t>ROLANDO E. DEALCA, MD</a:t>
          </a:r>
        </a:p>
        <a:p>
          <a:pPr algn="l"/>
          <a:r>
            <a:rPr lang="en-PH" sz="1000" b="0" i="0" baseline="0">
              <a:solidFill>
                <a:schemeClr val="dk1"/>
              </a:solidFill>
              <a:effectLst/>
              <a:latin typeface="Candara" panose="020E0502030303020204" pitchFamily="34" charset="0"/>
              <a:ea typeface="+mn-ea"/>
              <a:cs typeface="+mn-cs"/>
            </a:rPr>
            <a:t>BAC Chairman</a:t>
          </a:r>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1" baseline="0">
            <a:latin typeface="Candara" panose="020E0502030303020204" pitchFamily="34" charset="0"/>
          </a:endParaRPr>
        </a:p>
        <a:p>
          <a:pPr algn="l"/>
          <a:endParaRPr lang="en-PH" sz="1000" b="1" baseline="0">
            <a:latin typeface="Candara" panose="020E0502030303020204" pitchFamily="34" charset="0"/>
          </a:endParaRPr>
        </a:p>
        <a:p>
          <a:pPr algn="l"/>
          <a:endParaRPr lang="en-PH" sz="1000" b="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468928</xdr:colOff>
      <xdr:row>45</xdr:row>
      <xdr:rowOff>0</xdr:rowOff>
    </xdr:from>
    <xdr:to>
      <xdr:col>6</xdr:col>
      <xdr:colOff>834870</xdr:colOff>
      <xdr:row>52</xdr:row>
      <xdr:rowOff>38100</xdr:rowOff>
    </xdr:to>
    <xdr:sp macro="" textlink="">
      <xdr:nvSpPr>
        <xdr:cNvPr id="2" name="TextBox 1">
          <a:extLst>
            <a:ext uri="{FF2B5EF4-FFF2-40B4-BE49-F238E27FC236}">
              <a16:creationId xmlns="" xmlns:a16="http://schemas.microsoft.com/office/drawing/2014/main" id="{01FFA2F6-31F7-4D33-B313-9C27E1CEC39F}"/>
            </a:ext>
          </a:extLst>
        </xdr:cNvPr>
        <xdr:cNvSpPr txBox="1"/>
      </xdr:nvSpPr>
      <xdr:spPr>
        <a:xfrm>
          <a:off x="468928" y="9010650"/>
          <a:ext cx="7652567"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endParaRPr lang="en-PH" sz="1000" b="0" i="1">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477081</xdr:colOff>
      <xdr:row>50</xdr:row>
      <xdr:rowOff>7746</xdr:rowOff>
    </xdr:from>
    <xdr:to>
      <xdr:col>6</xdr:col>
      <xdr:colOff>826777</xdr:colOff>
      <xdr:row>57</xdr:row>
      <xdr:rowOff>45846</xdr:rowOff>
    </xdr:to>
    <xdr:sp macro="" textlink="">
      <xdr:nvSpPr>
        <xdr:cNvPr id="2" name="TextBox 1">
          <a:extLst>
            <a:ext uri="{FF2B5EF4-FFF2-40B4-BE49-F238E27FC236}">
              <a16:creationId xmlns="" xmlns:a16="http://schemas.microsoft.com/office/drawing/2014/main" id="{2DC1EF93-192B-4122-96C5-7D362EC52E10}"/>
            </a:ext>
          </a:extLst>
        </xdr:cNvPr>
        <xdr:cNvSpPr txBox="1"/>
      </xdr:nvSpPr>
      <xdr:spPr>
        <a:xfrm>
          <a:off x="477081" y="13371321"/>
          <a:ext cx="7636321"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r>
            <a:rPr lang="en-PH" sz="1000" b="1" baseline="0">
              <a:solidFill>
                <a:schemeClr val="dk1"/>
              </a:solidFill>
              <a:effectLst/>
              <a:latin typeface="Candara" panose="020E0502030303020204" pitchFamily="34" charset="0"/>
              <a:ea typeface="+mn-ea"/>
              <a:cs typeface="+mn-cs"/>
            </a:rPr>
            <a:t>LUISITO H. MENDOZA, JR.</a:t>
          </a:r>
          <a:endParaRPr lang="en-PH" sz="1000">
            <a:effectLst/>
            <a:latin typeface="Candara" panose="020E0502030303020204" pitchFamily="34" charset="0"/>
          </a:endParaRPr>
        </a:p>
        <a:p>
          <a:pPr algn="l"/>
          <a:r>
            <a:rPr lang="en-PH" sz="1000" b="0" baseline="0">
              <a:solidFill>
                <a:schemeClr val="dk1"/>
              </a:solidFill>
              <a:effectLst/>
              <a:latin typeface="Candara" panose="020E0502030303020204" pitchFamily="34" charset="0"/>
              <a:ea typeface="+mn-ea"/>
              <a:cs typeface="+mn-cs"/>
            </a:rPr>
            <a:t>OIC - CDRRM Officer</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480735</xdr:colOff>
      <xdr:row>43</xdr:row>
      <xdr:rowOff>11122</xdr:rowOff>
    </xdr:from>
    <xdr:to>
      <xdr:col>6</xdr:col>
      <xdr:colOff>846677</xdr:colOff>
      <xdr:row>50</xdr:row>
      <xdr:rowOff>49222</xdr:rowOff>
    </xdr:to>
    <xdr:sp macro="" textlink="">
      <xdr:nvSpPr>
        <xdr:cNvPr id="2" name="TextBox 1">
          <a:extLst>
            <a:ext uri="{FF2B5EF4-FFF2-40B4-BE49-F238E27FC236}">
              <a16:creationId xmlns="" xmlns:a16="http://schemas.microsoft.com/office/drawing/2014/main" id="{269644F2-0B9C-40E6-83EE-AEB1B0CDAA28}"/>
            </a:ext>
          </a:extLst>
        </xdr:cNvPr>
        <xdr:cNvSpPr txBox="1"/>
      </xdr:nvSpPr>
      <xdr:spPr>
        <a:xfrm>
          <a:off x="480735" y="7307272"/>
          <a:ext cx="7652567"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endParaRPr lang="en-PH" sz="1000" b="0" i="1">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479917</xdr:colOff>
      <xdr:row>47</xdr:row>
      <xdr:rowOff>9525</xdr:rowOff>
    </xdr:from>
    <xdr:to>
      <xdr:col>6</xdr:col>
      <xdr:colOff>845859</xdr:colOff>
      <xdr:row>54</xdr:row>
      <xdr:rowOff>47625</xdr:rowOff>
    </xdr:to>
    <xdr:sp macro="" textlink="">
      <xdr:nvSpPr>
        <xdr:cNvPr id="2" name="TextBox 1">
          <a:extLst>
            <a:ext uri="{FF2B5EF4-FFF2-40B4-BE49-F238E27FC236}">
              <a16:creationId xmlns="" xmlns:a16="http://schemas.microsoft.com/office/drawing/2014/main" id="{00000000-0008-0000-0F00-000002000000}"/>
            </a:ext>
          </a:extLst>
        </xdr:cNvPr>
        <xdr:cNvSpPr txBox="1"/>
      </xdr:nvSpPr>
      <xdr:spPr>
        <a:xfrm>
          <a:off x="479917" y="12685102"/>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ALFONZO L. TAYO</a:t>
          </a:r>
          <a:endParaRPr lang="en-PH" sz="1000">
            <a:effectLst/>
            <a:latin typeface="Candara" panose="020E0502030303020204" pitchFamily="34" charset="0"/>
          </a:endParaRPr>
        </a:p>
        <a:p>
          <a:pPr algn="l"/>
          <a:r>
            <a:rPr lang="en-PH" sz="1000" baseline="0">
              <a:solidFill>
                <a:schemeClr val="dk1"/>
              </a:solidFill>
              <a:effectLst/>
              <a:latin typeface="Candara" panose="020E0502030303020204" pitchFamily="34" charset="0"/>
              <a:ea typeface="+mn-ea"/>
              <a:cs typeface="+mn-cs"/>
            </a:rPr>
            <a:t>City Zoning Administrator</a:t>
          </a:r>
          <a:endParaRPr lang="en-PH" sz="1000">
            <a:effectLst/>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E.HAMOR</a:t>
          </a:r>
        </a:p>
        <a:p>
          <a:pPr algn="l"/>
          <a:r>
            <a:rPr lang="en-PH" sz="1000" b="0" baseline="0">
              <a:latin typeface="Candara" panose="020E0502030303020204" pitchFamily="34" charset="0"/>
            </a:rPr>
            <a:t>City Mayor</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480735</xdr:colOff>
      <xdr:row>37</xdr:row>
      <xdr:rowOff>11122</xdr:rowOff>
    </xdr:from>
    <xdr:to>
      <xdr:col>6</xdr:col>
      <xdr:colOff>846677</xdr:colOff>
      <xdr:row>44</xdr:row>
      <xdr:rowOff>49222</xdr:rowOff>
    </xdr:to>
    <xdr:sp macro="" textlink="">
      <xdr:nvSpPr>
        <xdr:cNvPr id="2" name="TextBox 1">
          <a:extLst>
            <a:ext uri="{FF2B5EF4-FFF2-40B4-BE49-F238E27FC236}">
              <a16:creationId xmlns="" xmlns:a16="http://schemas.microsoft.com/office/drawing/2014/main" id="{00000000-0008-0000-2D00-000002000000}"/>
            </a:ext>
          </a:extLst>
        </xdr:cNvPr>
        <xdr:cNvSpPr txBox="1"/>
      </xdr:nvSpPr>
      <xdr:spPr>
        <a:xfrm>
          <a:off x="480735" y="7733699"/>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endParaRPr lang="en-PH" sz="1000" b="0" i="1">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468382</xdr:colOff>
      <xdr:row>47</xdr:row>
      <xdr:rowOff>14493</xdr:rowOff>
    </xdr:from>
    <xdr:to>
      <xdr:col>6</xdr:col>
      <xdr:colOff>818078</xdr:colOff>
      <xdr:row>54</xdr:row>
      <xdr:rowOff>52593</xdr:rowOff>
    </xdr:to>
    <xdr:sp macro="" textlink="">
      <xdr:nvSpPr>
        <xdr:cNvPr id="2" name="TextBox 1">
          <a:extLst>
            <a:ext uri="{FF2B5EF4-FFF2-40B4-BE49-F238E27FC236}">
              <a16:creationId xmlns="" xmlns:a16="http://schemas.microsoft.com/office/drawing/2014/main" id="{C7B156AE-D25B-4C69-A9C3-1D75D33C0691}"/>
            </a:ext>
          </a:extLst>
        </xdr:cNvPr>
        <xdr:cNvSpPr txBox="1"/>
      </xdr:nvSpPr>
      <xdr:spPr>
        <a:xfrm>
          <a:off x="468382" y="7682118"/>
          <a:ext cx="7636321"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r>
            <a:rPr lang="en-PH" sz="1000" b="0" i="1">
              <a:solidFill>
                <a:schemeClr val="dk1"/>
              </a:solidFill>
              <a:effectLst/>
              <a:latin typeface="+mn-lt"/>
              <a:ea typeface="+mn-ea"/>
              <a:cs typeface="+mn-cs"/>
            </a:rPr>
            <a:t>Prepared:</a:t>
          </a:r>
          <a:endParaRPr lang="en-US" sz="1000">
            <a:effectLst/>
          </a:endParaRPr>
        </a:p>
        <a:p>
          <a:endParaRPr lang="en-PH" sz="1000" b="1" baseline="0">
            <a:solidFill>
              <a:schemeClr val="dk1"/>
            </a:solidFill>
            <a:effectLst/>
            <a:latin typeface="+mn-lt"/>
            <a:ea typeface="+mn-ea"/>
            <a:cs typeface="+mn-cs"/>
          </a:endParaRPr>
        </a:p>
        <a:p>
          <a:endParaRPr lang="en-PH" sz="1000" b="1" baseline="0">
            <a:solidFill>
              <a:schemeClr val="dk1"/>
            </a:solidFill>
            <a:effectLst/>
            <a:latin typeface="+mn-lt"/>
            <a:ea typeface="+mn-ea"/>
            <a:cs typeface="+mn-cs"/>
          </a:endParaRPr>
        </a:p>
        <a:p>
          <a:endParaRPr lang="en-PH" sz="1000" b="1" baseline="0">
            <a:solidFill>
              <a:schemeClr val="dk1"/>
            </a:solidFill>
            <a:effectLst/>
            <a:latin typeface="+mn-lt"/>
            <a:ea typeface="+mn-ea"/>
            <a:cs typeface="+mn-cs"/>
          </a:endParaRPr>
        </a:p>
        <a:p>
          <a:r>
            <a:rPr lang="en-PH" sz="1000" b="1" baseline="0">
              <a:solidFill>
                <a:schemeClr val="dk1"/>
              </a:solidFill>
              <a:effectLst/>
              <a:latin typeface="+mn-lt"/>
              <a:ea typeface="+mn-ea"/>
              <a:cs typeface="+mn-cs"/>
            </a:rPr>
            <a:t>JOHN JASON L. PALMA</a:t>
          </a:r>
          <a:endParaRPr lang="en-US" sz="1000">
            <a:effectLst/>
          </a:endParaRPr>
        </a:p>
        <a:p>
          <a:r>
            <a:rPr lang="en-PH" sz="1000" b="0" baseline="0">
              <a:solidFill>
                <a:schemeClr val="dk1"/>
              </a:solidFill>
              <a:effectLst/>
              <a:latin typeface="+mn-lt"/>
              <a:ea typeface="+mn-ea"/>
              <a:cs typeface="+mn-cs"/>
            </a:rPr>
            <a:t>OIC - ICT Officer</a:t>
          </a:r>
          <a:endParaRPr lang="en-US" sz="1000">
            <a:effectLst/>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94</xdr:row>
      <xdr:rowOff>24093</xdr:rowOff>
    </xdr:from>
    <xdr:to>
      <xdr:col>6</xdr:col>
      <xdr:colOff>433350</xdr:colOff>
      <xdr:row>101</xdr:row>
      <xdr:rowOff>62193</xdr:rowOff>
    </xdr:to>
    <xdr:sp macro="" textlink="">
      <xdr:nvSpPr>
        <xdr:cNvPr id="2" name="TextBox 1">
          <a:extLst>
            <a:ext uri="{FF2B5EF4-FFF2-40B4-BE49-F238E27FC236}">
              <a16:creationId xmlns="" xmlns:a16="http://schemas.microsoft.com/office/drawing/2014/main" id="{00000000-0008-0000-0700-000002000000}"/>
            </a:ext>
          </a:extLst>
        </xdr:cNvPr>
        <xdr:cNvSpPr txBox="1"/>
      </xdr:nvSpPr>
      <xdr:spPr>
        <a:xfrm>
          <a:off x="542925" y="20113906"/>
          <a:ext cx="7192925"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ctr"/>
          <a:endParaRPr lang="en-PH" sz="1000" b="0" i="1">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468382</xdr:colOff>
      <xdr:row>40</xdr:row>
      <xdr:rowOff>14493</xdr:rowOff>
    </xdr:from>
    <xdr:to>
      <xdr:col>6</xdr:col>
      <xdr:colOff>818078</xdr:colOff>
      <xdr:row>47</xdr:row>
      <xdr:rowOff>52593</xdr:rowOff>
    </xdr:to>
    <xdr:sp macro="" textlink="">
      <xdr:nvSpPr>
        <xdr:cNvPr id="2" name="TextBox 1">
          <a:extLst>
            <a:ext uri="{FF2B5EF4-FFF2-40B4-BE49-F238E27FC236}">
              <a16:creationId xmlns="" xmlns:a16="http://schemas.microsoft.com/office/drawing/2014/main" id="{00000000-0008-0000-2400-000002000000}"/>
            </a:ext>
          </a:extLst>
        </xdr:cNvPr>
        <xdr:cNvSpPr txBox="1"/>
      </xdr:nvSpPr>
      <xdr:spPr>
        <a:xfrm>
          <a:off x="468382" y="7916102"/>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endParaRPr lang="en-PH" sz="1000" b="0" i="1">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293076</xdr:colOff>
      <xdr:row>55</xdr:row>
      <xdr:rowOff>21981</xdr:rowOff>
    </xdr:from>
    <xdr:to>
      <xdr:col>6</xdr:col>
      <xdr:colOff>640860</xdr:colOff>
      <xdr:row>62</xdr:row>
      <xdr:rowOff>60081</xdr:rowOff>
    </xdr:to>
    <xdr:sp macro="" textlink="">
      <xdr:nvSpPr>
        <xdr:cNvPr id="4" name="TextBox 3">
          <a:extLst>
            <a:ext uri="{FF2B5EF4-FFF2-40B4-BE49-F238E27FC236}">
              <a16:creationId xmlns="" xmlns:a16="http://schemas.microsoft.com/office/drawing/2014/main" id="{C3B74B37-9F7E-4834-AF97-1F1A63D1D8DC}"/>
            </a:ext>
          </a:extLst>
        </xdr:cNvPr>
        <xdr:cNvSpPr txBox="1"/>
      </xdr:nvSpPr>
      <xdr:spPr>
        <a:xfrm>
          <a:off x="293076" y="10939096"/>
          <a:ext cx="7638072"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JONI ASPHASIA O. JAO</a:t>
          </a:r>
          <a:endParaRPr lang="en-PH" sz="1000">
            <a:effectLst/>
            <a:latin typeface="Candara" panose="020E0502030303020204" pitchFamily="34" charset="0"/>
          </a:endParaRPr>
        </a:p>
        <a:p>
          <a:pPr algn="l"/>
          <a:r>
            <a:rPr lang="en-PH" sz="1000" baseline="0">
              <a:solidFill>
                <a:schemeClr val="dk1"/>
              </a:solidFill>
              <a:effectLst/>
              <a:latin typeface="Candara" panose="020E0502030303020204" pitchFamily="34" charset="0"/>
              <a:ea typeface="+mn-ea"/>
              <a:cs typeface="+mn-cs"/>
            </a:rPr>
            <a:t>City Tourism Officer</a:t>
          </a:r>
          <a:endParaRPr lang="en-PH" sz="1000">
            <a:effectLst/>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E.HAMOR</a:t>
          </a:r>
        </a:p>
        <a:p>
          <a:pPr algn="l"/>
          <a:r>
            <a:rPr lang="en-PH" sz="1000" b="0" baseline="0">
              <a:latin typeface="Candara" panose="020E0502030303020204" pitchFamily="34" charset="0"/>
            </a:rPr>
            <a:t>City Mayor</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463830</xdr:colOff>
      <xdr:row>26</xdr:row>
      <xdr:rowOff>41415</xdr:rowOff>
    </xdr:from>
    <xdr:to>
      <xdr:col>6</xdr:col>
      <xdr:colOff>813526</xdr:colOff>
      <xdr:row>33</xdr:row>
      <xdr:rowOff>79515</xdr:rowOff>
    </xdr:to>
    <xdr:sp macro="" textlink="">
      <xdr:nvSpPr>
        <xdr:cNvPr id="3" name="TextBox 2">
          <a:extLst>
            <a:ext uri="{FF2B5EF4-FFF2-40B4-BE49-F238E27FC236}">
              <a16:creationId xmlns="" xmlns:a16="http://schemas.microsoft.com/office/drawing/2014/main" id="{2FF66E8E-0FE6-46E9-8A29-E723BE586B1B}"/>
            </a:ext>
          </a:extLst>
        </xdr:cNvPr>
        <xdr:cNvSpPr txBox="1"/>
      </xdr:nvSpPr>
      <xdr:spPr>
        <a:xfrm>
          <a:off x="463830" y="7711111"/>
          <a:ext cx="7621826"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r>
            <a:rPr lang="en-PH" sz="1000" b="1" baseline="0">
              <a:solidFill>
                <a:schemeClr val="dk1"/>
              </a:solidFill>
              <a:effectLst/>
              <a:latin typeface="Candara" panose="020E0502030303020204" pitchFamily="34" charset="0"/>
              <a:ea typeface="+mn-ea"/>
              <a:cs typeface="+mn-cs"/>
            </a:rPr>
            <a:t>ARNEL H. ANCHINGES</a:t>
          </a:r>
          <a:endParaRPr lang="en-PH" sz="1000">
            <a:effectLst/>
            <a:latin typeface="Candara" panose="020E0502030303020204" pitchFamily="34" charset="0"/>
          </a:endParaRPr>
        </a:p>
        <a:p>
          <a:pPr algn="l"/>
          <a:r>
            <a:rPr lang="en-PH" sz="1000" b="0" baseline="0">
              <a:solidFill>
                <a:schemeClr val="dk1"/>
              </a:solidFill>
              <a:effectLst/>
              <a:latin typeface="Candara" panose="020E0502030303020204" pitchFamily="34" charset="0"/>
              <a:ea typeface="+mn-ea"/>
              <a:cs typeface="+mn-cs"/>
            </a:rPr>
            <a:t>Security Officer IV</a:t>
          </a: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495300</xdr:colOff>
      <xdr:row>420</xdr:row>
      <xdr:rowOff>24093</xdr:rowOff>
    </xdr:from>
    <xdr:to>
      <xdr:col>6</xdr:col>
      <xdr:colOff>385725</xdr:colOff>
      <xdr:row>427</xdr:row>
      <xdr:rowOff>62193</xdr:rowOff>
    </xdr:to>
    <xdr:sp macro="" textlink="">
      <xdr:nvSpPr>
        <xdr:cNvPr id="2" name="TextBox 1">
          <a:extLst>
            <a:ext uri="{FF2B5EF4-FFF2-40B4-BE49-F238E27FC236}">
              <a16:creationId xmlns="" xmlns:a16="http://schemas.microsoft.com/office/drawing/2014/main" id="{AD9C5197-5501-4D1C-A376-4C30CD2839D7}"/>
            </a:ext>
          </a:extLst>
        </xdr:cNvPr>
        <xdr:cNvSpPr txBox="1"/>
      </xdr:nvSpPr>
      <xdr:spPr>
        <a:xfrm>
          <a:off x="495300" y="106856493"/>
          <a:ext cx="73104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ctr"/>
          <a:endParaRPr lang="en-PH" sz="1000" b="0" i="1">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 </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358</xdr:row>
      <xdr:rowOff>24093</xdr:rowOff>
    </xdr:from>
    <xdr:to>
      <xdr:col>6</xdr:col>
      <xdr:colOff>385725</xdr:colOff>
      <xdr:row>365</xdr:row>
      <xdr:rowOff>62193</xdr:rowOff>
    </xdr:to>
    <xdr:sp macro="" textlink="">
      <xdr:nvSpPr>
        <xdr:cNvPr id="2" name="TextBox 1">
          <a:extLst>
            <a:ext uri="{FF2B5EF4-FFF2-40B4-BE49-F238E27FC236}">
              <a16:creationId xmlns="" xmlns:a16="http://schemas.microsoft.com/office/drawing/2014/main" id="{AB166B40-D7F3-4530-AB53-F5AB4669C861}"/>
            </a:ext>
          </a:extLst>
        </xdr:cNvPr>
        <xdr:cNvSpPr txBox="1"/>
      </xdr:nvSpPr>
      <xdr:spPr>
        <a:xfrm>
          <a:off x="495300" y="94207293"/>
          <a:ext cx="72723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ctr"/>
          <a:endParaRPr lang="en-PH" sz="1000" b="0" i="1">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414130</xdr:colOff>
      <xdr:row>393</xdr:row>
      <xdr:rowOff>24093</xdr:rowOff>
    </xdr:from>
    <xdr:to>
      <xdr:col>5</xdr:col>
      <xdr:colOff>617638</xdr:colOff>
      <xdr:row>400</xdr:row>
      <xdr:rowOff>62193</xdr:rowOff>
    </xdr:to>
    <xdr:sp macro="" textlink="">
      <xdr:nvSpPr>
        <xdr:cNvPr id="2" name="TextBox 1">
          <a:extLst>
            <a:ext uri="{FF2B5EF4-FFF2-40B4-BE49-F238E27FC236}">
              <a16:creationId xmlns="" xmlns:a16="http://schemas.microsoft.com/office/drawing/2014/main" id="{92932552-3183-4F6D-8191-344BC10FB1BC}"/>
            </a:ext>
          </a:extLst>
        </xdr:cNvPr>
        <xdr:cNvSpPr txBox="1"/>
      </xdr:nvSpPr>
      <xdr:spPr>
        <a:xfrm>
          <a:off x="414130" y="91339854"/>
          <a:ext cx="7508769"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ctr"/>
          <a:endParaRPr lang="en-PH" sz="1000" b="0" i="1">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i="1" baseline="0">
            <a:latin typeface="Candara" panose="020E0502030303020204" pitchFamily="34" charset="0"/>
          </a:endParaRPr>
        </a:p>
        <a:p>
          <a:pPr algn="ctr"/>
          <a:endParaRPr lang="en-PH" sz="1000" b="0"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 </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518077</xdr:colOff>
      <xdr:row>45</xdr:row>
      <xdr:rowOff>67089</xdr:rowOff>
    </xdr:from>
    <xdr:to>
      <xdr:col>6</xdr:col>
      <xdr:colOff>867773</xdr:colOff>
      <xdr:row>52</xdr:row>
      <xdr:rowOff>105189</xdr:rowOff>
    </xdr:to>
    <xdr:sp macro="" textlink="">
      <xdr:nvSpPr>
        <xdr:cNvPr id="2" name="TextBox 1">
          <a:extLst>
            <a:ext uri="{FF2B5EF4-FFF2-40B4-BE49-F238E27FC236}">
              <a16:creationId xmlns="" xmlns:a16="http://schemas.microsoft.com/office/drawing/2014/main" id="{00000000-0008-0000-1D00-000002000000}"/>
            </a:ext>
          </a:extLst>
        </xdr:cNvPr>
        <xdr:cNvSpPr txBox="1"/>
      </xdr:nvSpPr>
      <xdr:spPr>
        <a:xfrm>
          <a:off x="518077" y="9830214"/>
          <a:ext cx="7636321"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effectLst/>
              <a:latin typeface="Candara" panose="020E0502030303020204" pitchFamily="34" charset="0"/>
            </a:rPr>
            <a:t>ARNEL H. ANCHINGES</a:t>
          </a:r>
        </a:p>
        <a:p>
          <a:pPr marL="0" marR="0" lvl="0" indent="0" algn="l" defTabSz="914400" eaLnBrk="1" fontAlgn="auto" latinLnBrk="0" hangingPunct="1">
            <a:lnSpc>
              <a:spcPct val="100000"/>
            </a:lnSpc>
            <a:spcBef>
              <a:spcPts val="0"/>
            </a:spcBef>
            <a:spcAft>
              <a:spcPts val="0"/>
            </a:spcAft>
            <a:buClrTx/>
            <a:buSzTx/>
            <a:buFontTx/>
            <a:buNone/>
            <a:tabLst/>
            <a:defRPr/>
          </a:pPr>
          <a:r>
            <a:rPr lang="en-PH" sz="1000" b="0" baseline="0">
              <a:solidFill>
                <a:schemeClr val="dk1"/>
              </a:solidFill>
              <a:effectLst/>
              <a:latin typeface="Candara" panose="020E0502030303020204" pitchFamily="34" charset="0"/>
              <a:ea typeface="+mn-ea"/>
              <a:cs typeface="+mn-cs"/>
            </a:rPr>
            <a:t>Security Officer IV</a:t>
          </a:r>
          <a:endParaRPr lang="en-PH" sz="1000">
            <a:effectLst/>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 </a:t>
          </a: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493277</xdr:colOff>
      <xdr:row>49</xdr:row>
      <xdr:rowOff>20558</xdr:rowOff>
    </xdr:from>
    <xdr:to>
      <xdr:col>6</xdr:col>
      <xdr:colOff>859219</xdr:colOff>
      <xdr:row>56</xdr:row>
      <xdr:rowOff>58658</xdr:rowOff>
    </xdr:to>
    <xdr:sp macro="" textlink="">
      <xdr:nvSpPr>
        <xdr:cNvPr id="2" name="TextBox 1">
          <a:extLst>
            <a:ext uri="{FF2B5EF4-FFF2-40B4-BE49-F238E27FC236}">
              <a16:creationId xmlns="" xmlns:a16="http://schemas.microsoft.com/office/drawing/2014/main" id="{00000000-0008-0000-1100-000002000000}"/>
            </a:ext>
          </a:extLst>
        </xdr:cNvPr>
        <xdr:cNvSpPr txBox="1"/>
      </xdr:nvSpPr>
      <xdr:spPr>
        <a:xfrm>
          <a:off x="493277" y="11934135"/>
          <a:ext cx="7920000" cy="1371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tIns="91440" rIns="0" numCol="3" rtlCol="0" anchor="t"/>
        <a:lstStyle/>
        <a:p>
          <a:pPr algn="l"/>
          <a:r>
            <a:rPr lang="en-PH" sz="1000" b="0" i="1">
              <a:latin typeface="Candara" panose="020E0502030303020204" pitchFamily="34" charset="0"/>
            </a:rPr>
            <a:t>Prepared:</a:t>
          </a: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endParaRPr lang="en-PH" sz="1000" b="0">
            <a:latin typeface="Candara" panose="020E0502030303020204" pitchFamily="34" charset="0"/>
          </a:endParaRPr>
        </a:p>
        <a:p>
          <a:pPr algn="l"/>
          <a:r>
            <a:rPr lang="en-PH" sz="1000" b="1">
              <a:solidFill>
                <a:schemeClr val="dk1"/>
              </a:solidFill>
              <a:effectLst/>
              <a:latin typeface="Candara" panose="020E0502030303020204" pitchFamily="34" charset="0"/>
              <a:ea typeface="+mn-ea"/>
              <a:cs typeface="+mn-cs"/>
            </a:rPr>
            <a:t>MA. CHARO D. LOGRONIO</a:t>
          </a:r>
          <a:endParaRPr lang="en-PH" sz="1000">
            <a:effectLst/>
            <a:latin typeface="Candara" panose="020E0502030303020204" pitchFamily="34" charset="0"/>
          </a:endParaRPr>
        </a:p>
        <a:p>
          <a:pPr algn="l"/>
          <a:r>
            <a:rPr lang="en-PH" sz="1000" baseline="0">
              <a:solidFill>
                <a:schemeClr val="dk1"/>
              </a:solidFill>
              <a:effectLst/>
              <a:latin typeface="Candara" panose="020E0502030303020204" pitchFamily="34" charset="0"/>
              <a:ea typeface="+mn-ea"/>
              <a:cs typeface="+mn-cs"/>
            </a:rPr>
            <a:t>OIC - Community Affairs Officer IV</a:t>
          </a:r>
          <a:endParaRPr lang="en-PH" sz="1000">
            <a:effectLst/>
            <a:latin typeface="Candara" panose="020E0502030303020204" pitchFamily="34" charset="0"/>
          </a:endParaRPr>
        </a:p>
        <a:p>
          <a:pPr algn="l"/>
          <a:endParaRPr lang="en-PH" sz="1000" b="0" i="1" baseline="0">
            <a:latin typeface="Candara" panose="020E0502030303020204" pitchFamily="34" charset="0"/>
          </a:endParaRPr>
        </a:p>
        <a:p>
          <a:pPr algn="l"/>
          <a:r>
            <a:rPr lang="en-PH" sz="1000" b="0" i="1" baseline="0">
              <a:latin typeface="Candara" panose="020E0502030303020204" pitchFamily="34" charset="0"/>
            </a:rPr>
            <a:t>Reviewed: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JINKY E. AQUINO</a:t>
          </a:r>
        </a:p>
        <a:p>
          <a:pPr algn="l"/>
          <a:r>
            <a:rPr lang="en-PH" sz="1000" b="0" baseline="0">
              <a:latin typeface="Candara" panose="020E0502030303020204" pitchFamily="34" charset="0"/>
            </a:rPr>
            <a:t>City Budget Officer</a:t>
          </a:r>
        </a:p>
        <a:p>
          <a:pPr algn="l"/>
          <a:endParaRPr lang="en-PH" sz="1000" b="0" baseline="0">
            <a:latin typeface="Candara" panose="020E0502030303020204" pitchFamily="34" charset="0"/>
          </a:endParaRPr>
        </a:p>
        <a:p>
          <a:pPr algn="l"/>
          <a:r>
            <a:rPr lang="en-PH" sz="1000" b="0" i="1" baseline="0">
              <a:latin typeface="Candara" panose="020E0502030303020204" pitchFamily="34" charset="0"/>
            </a:rPr>
            <a:t>Approved:</a:t>
          </a: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endParaRPr lang="en-PH" sz="1000" b="0" i="1" baseline="0">
            <a:latin typeface="Candara" panose="020E0502030303020204" pitchFamily="34" charset="0"/>
          </a:endParaRPr>
        </a:p>
        <a:p>
          <a:pPr algn="l"/>
          <a:r>
            <a:rPr lang="en-PH" sz="1000" b="1" baseline="0">
              <a:latin typeface="Candara" panose="020E0502030303020204" pitchFamily="34" charset="0"/>
            </a:rPr>
            <a:t>MA. ESTER E. HAMOR</a:t>
          </a:r>
        </a:p>
        <a:p>
          <a:pPr algn="l"/>
          <a:r>
            <a:rPr lang="en-PH" sz="1000" b="0" baseline="0">
              <a:latin typeface="Candara" panose="020E0502030303020204" pitchFamily="34" charset="0"/>
            </a:rPr>
            <a:t>City Mayor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UDGET2021-final-08.20.2020\LBP%20FORM%202%20-%20incub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BO%20-%20JINKY/Desktop/LBP%20FORM%202%20-%20incumbent%20-%20PETE%20-UPDATING8292020draftatbit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BO-JOY/Desktop/BUDGET2023/BUDGET2023%2008292022%20-%202022/LBP%20FORM%202%20-%202023-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BO-JOY/Desktop/BUDGET2023/08.27-BUDGET2023%20-%20%20BASED%20ON%202021%20AFTER%20BUDGET%20DELIBERATION%20-%20Copy/LBP%20FORM%203A%20-%20LBC143-11%20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DF"/>
      <sheetName val="CMO"/>
      <sheetName val="CMO - SPPA"/>
      <sheetName val="BAC"/>
      <sheetName val="ADMIN"/>
      <sheetName val="CVMO"/>
      <sheetName val="SP"/>
      <sheetName val="SECSP"/>
      <sheetName val="CHRMO"/>
      <sheetName val="CPDO"/>
      <sheetName val="ZONING"/>
      <sheetName val="CCRO"/>
      <sheetName val="BAPAS"/>
      <sheetName val="CGSO"/>
      <sheetName val="CBO"/>
      <sheetName val="ACTNG "/>
      <sheetName val="CTO"/>
      <sheetName val="PERMITS"/>
      <sheetName val="ASSESSOR"/>
      <sheetName val="CSWDO"/>
      <sheetName val="AGRI"/>
      <sheetName val="VET"/>
      <sheetName val="ENGINEER"/>
      <sheetName val="MARKET"/>
      <sheetName val="CSU"/>
      <sheetName val="CENRO "/>
      <sheetName val="CHO"/>
      <sheetName val="LEGAL"/>
      <sheetName val="CPIO"/>
      <sheetName val="CDRRMO"/>
      <sheetName val="TRAFFIC"/>
      <sheetName val="SOLIDWASTE"/>
      <sheetName val="IAS"/>
      <sheetName val="CTFRO"/>
      <sheetName val="PESO"/>
      <sheetName val="TOURISM"/>
      <sheetName val="CDO"/>
      <sheetName val="70% of 5%"/>
    </sheetNames>
    <sheetDataSet>
      <sheetData sheetId="0"/>
      <sheetData sheetId="1"/>
      <sheetData sheetId="2">
        <row r="10">
          <cell r="H10">
            <v>17</v>
          </cell>
        </row>
        <row r="33">
          <cell r="G33">
            <v>36787322.455999993</v>
          </cell>
        </row>
        <row r="78">
          <cell r="G78">
            <v>0</v>
          </cell>
        </row>
        <row r="79">
          <cell r="G79">
            <v>1036000</v>
          </cell>
        </row>
        <row r="90">
          <cell r="G90">
            <v>0</v>
          </cell>
        </row>
        <row r="91">
          <cell r="G91">
            <v>0</v>
          </cell>
        </row>
      </sheetData>
      <sheetData sheetId="3">
        <row r="346">
          <cell r="G346">
            <v>443429750</v>
          </cell>
        </row>
      </sheetData>
      <sheetData sheetId="4">
        <row r="18">
          <cell r="G18">
            <v>10000</v>
          </cell>
        </row>
        <row r="33">
          <cell r="G33">
            <v>270000</v>
          </cell>
        </row>
        <row r="36">
          <cell r="G36">
            <v>2594510.1</v>
          </cell>
        </row>
      </sheetData>
      <sheetData sheetId="5">
        <row r="10">
          <cell r="H10">
            <v>3</v>
          </cell>
        </row>
        <row r="33">
          <cell r="G33">
            <v>2140467.5440000007</v>
          </cell>
        </row>
        <row r="51">
          <cell r="G51">
            <v>2481000</v>
          </cell>
        </row>
        <row r="56">
          <cell r="G56">
            <v>0</v>
          </cell>
        </row>
      </sheetData>
      <sheetData sheetId="6">
        <row r="10">
          <cell r="H10">
            <v>14</v>
          </cell>
        </row>
        <row r="34">
          <cell r="G34">
            <v>7510417.8640000001</v>
          </cell>
        </row>
        <row r="58">
          <cell r="G58">
            <v>15922975.77</v>
          </cell>
        </row>
        <row r="67">
          <cell r="G67">
            <v>2614500</v>
          </cell>
        </row>
      </sheetData>
      <sheetData sheetId="7">
        <row r="10">
          <cell r="H10">
            <v>28</v>
          </cell>
        </row>
        <row r="33">
          <cell r="G33">
            <v>34846200.552000009</v>
          </cell>
        </row>
        <row r="56">
          <cell r="G56">
            <v>36000</v>
          </cell>
        </row>
        <row r="65">
          <cell r="G65">
            <v>0</v>
          </cell>
        </row>
      </sheetData>
      <sheetData sheetId="8">
        <row r="10">
          <cell r="H10">
            <v>36</v>
          </cell>
        </row>
        <row r="34">
          <cell r="G34">
            <v>14506999.527999997</v>
          </cell>
        </row>
        <row r="55">
          <cell r="G55">
            <v>36000</v>
          </cell>
        </row>
        <row r="60">
          <cell r="G60">
            <v>0</v>
          </cell>
        </row>
      </sheetData>
      <sheetData sheetId="9">
        <row r="10">
          <cell r="H10">
            <v>11</v>
          </cell>
        </row>
        <row r="34">
          <cell r="G34">
            <v>6365550.7039999999</v>
          </cell>
        </row>
        <row r="53">
          <cell r="G53">
            <v>523000</v>
          </cell>
        </row>
        <row r="60">
          <cell r="G60">
            <v>0</v>
          </cell>
        </row>
      </sheetData>
      <sheetData sheetId="10">
        <row r="10">
          <cell r="H10">
            <v>10</v>
          </cell>
        </row>
        <row r="32">
          <cell r="G32">
            <v>7802244.2000000002</v>
          </cell>
        </row>
        <row r="53">
          <cell r="G53">
            <v>1541275</v>
          </cell>
        </row>
        <row r="60">
          <cell r="G60">
            <v>8680900</v>
          </cell>
        </row>
      </sheetData>
      <sheetData sheetId="11">
        <row r="10">
          <cell r="H10">
            <v>14</v>
          </cell>
        </row>
        <row r="33">
          <cell r="G33">
            <v>8319139.8319999995</v>
          </cell>
        </row>
        <row r="53">
          <cell r="G53">
            <v>714000</v>
          </cell>
        </row>
        <row r="62">
          <cell r="G62">
            <v>2050000</v>
          </cell>
        </row>
      </sheetData>
      <sheetData sheetId="12">
        <row r="10">
          <cell r="H10">
            <v>15</v>
          </cell>
        </row>
        <row r="34">
          <cell r="G34">
            <v>8012546.1760000018</v>
          </cell>
        </row>
        <row r="56">
          <cell r="G56">
            <v>1415200</v>
          </cell>
        </row>
        <row r="61">
          <cell r="G61">
            <v>300000</v>
          </cell>
        </row>
      </sheetData>
      <sheetData sheetId="13">
        <row r="10">
          <cell r="H10">
            <v>7</v>
          </cell>
        </row>
        <row r="31">
          <cell r="G31">
            <v>3557057.688000001</v>
          </cell>
        </row>
        <row r="54">
          <cell r="G54">
            <v>1344000</v>
          </cell>
        </row>
        <row r="58">
          <cell r="G58">
            <v>150000</v>
          </cell>
        </row>
      </sheetData>
      <sheetData sheetId="14">
        <row r="10">
          <cell r="H10">
            <v>19</v>
          </cell>
        </row>
        <row r="33">
          <cell r="G33">
            <v>8476871.3200000003</v>
          </cell>
        </row>
        <row r="65">
          <cell r="G65">
            <v>15000</v>
          </cell>
        </row>
        <row r="67">
          <cell r="G67">
            <v>37226000</v>
          </cell>
        </row>
        <row r="79">
          <cell r="G79">
            <v>1000000</v>
          </cell>
        </row>
        <row r="82">
          <cell r="G82">
            <v>18500000</v>
          </cell>
        </row>
      </sheetData>
      <sheetData sheetId="15">
        <row r="10">
          <cell r="H10">
            <v>12</v>
          </cell>
        </row>
        <row r="34">
          <cell r="G34">
            <v>7977974.7919999994</v>
          </cell>
        </row>
        <row r="58">
          <cell r="G58">
            <v>36000</v>
          </cell>
        </row>
        <row r="64">
          <cell r="G64">
            <v>0</v>
          </cell>
        </row>
      </sheetData>
      <sheetData sheetId="16">
        <row r="10">
          <cell r="H10">
            <v>27</v>
          </cell>
        </row>
        <row r="34">
          <cell r="G34">
            <v>15495753.792000001</v>
          </cell>
        </row>
        <row r="55">
          <cell r="G55">
            <v>2965500</v>
          </cell>
        </row>
        <row r="64">
          <cell r="G64">
            <v>2450000</v>
          </cell>
        </row>
      </sheetData>
      <sheetData sheetId="17">
        <row r="10">
          <cell r="H10">
            <v>31</v>
          </cell>
        </row>
        <row r="35">
          <cell r="G35">
            <v>18597928.959999993</v>
          </cell>
        </row>
        <row r="60">
          <cell r="G60">
            <v>2636000</v>
          </cell>
        </row>
        <row r="65">
          <cell r="G65">
            <v>1150000</v>
          </cell>
        </row>
        <row r="74">
          <cell r="G74">
            <v>300000</v>
          </cell>
        </row>
      </sheetData>
      <sheetData sheetId="18">
        <row r="10">
          <cell r="H10">
            <v>6</v>
          </cell>
        </row>
        <row r="31">
          <cell r="G31">
            <v>2927592.2640000004</v>
          </cell>
        </row>
        <row r="55">
          <cell r="G55">
            <v>0</v>
          </cell>
        </row>
        <row r="64">
          <cell r="G64">
            <v>100000</v>
          </cell>
        </row>
      </sheetData>
      <sheetData sheetId="19">
        <row r="10">
          <cell r="H10">
            <v>19</v>
          </cell>
        </row>
        <row r="34">
          <cell r="G34">
            <v>12411299.119999999</v>
          </cell>
        </row>
        <row r="61">
          <cell r="G61">
            <v>4331000</v>
          </cell>
        </row>
        <row r="75">
          <cell r="G75">
            <v>3600000</v>
          </cell>
        </row>
      </sheetData>
      <sheetData sheetId="20">
        <row r="10">
          <cell r="H10">
            <v>13</v>
          </cell>
        </row>
        <row r="35">
          <cell r="G35">
            <v>8038291.7680000002</v>
          </cell>
        </row>
        <row r="82">
          <cell r="G82">
            <v>144650000</v>
          </cell>
        </row>
        <row r="87">
          <cell r="G87">
            <v>1000000</v>
          </cell>
        </row>
      </sheetData>
      <sheetData sheetId="21">
        <row r="10">
          <cell r="H10">
            <v>24</v>
          </cell>
        </row>
        <row r="32">
          <cell r="G32">
            <v>12761961.920000002</v>
          </cell>
        </row>
        <row r="68">
          <cell r="G68">
            <v>911000</v>
          </cell>
        </row>
        <row r="75">
          <cell r="G75">
            <v>0</v>
          </cell>
        </row>
      </sheetData>
      <sheetData sheetId="22">
        <row r="10">
          <cell r="H10">
            <v>8</v>
          </cell>
        </row>
        <row r="36">
          <cell r="G36">
            <v>5307760.1120000007</v>
          </cell>
        </row>
        <row r="92">
          <cell r="G92">
            <v>22606500</v>
          </cell>
        </row>
        <row r="121">
          <cell r="G121">
            <v>18055000</v>
          </cell>
        </row>
      </sheetData>
      <sheetData sheetId="23">
        <row r="10">
          <cell r="H10">
            <v>42</v>
          </cell>
        </row>
        <row r="33">
          <cell r="G33">
            <v>18892371.552000005</v>
          </cell>
        </row>
        <row r="58">
          <cell r="G58">
            <v>11503600</v>
          </cell>
        </row>
        <row r="65">
          <cell r="G65">
            <v>20000000</v>
          </cell>
        </row>
      </sheetData>
      <sheetData sheetId="24">
        <row r="10">
          <cell r="H10">
            <v>4</v>
          </cell>
        </row>
        <row r="30">
          <cell r="G30">
            <v>1897427.4079999998</v>
          </cell>
        </row>
        <row r="48">
          <cell r="G48">
            <v>5700000</v>
          </cell>
        </row>
        <row r="63">
          <cell r="G63">
            <v>340000</v>
          </cell>
        </row>
      </sheetData>
      <sheetData sheetId="25">
        <row r="10">
          <cell r="H10">
            <v>7</v>
          </cell>
        </row>
        <row r="31">
          <cell r="G31">
            <v>2637179.688000001</v>
          </cell>
        </row>
        <row r="48">
          <cell r="G48">
            <v>3136000</v>
          </cell>
        </row>
        <row r="50">
          <cell r="G50">
            <v>0</v>
          </cell>
        </row>
      </sheetData>
      <sheetData sheetId="26">
        <row r="10">
          <cell r="H10">
            <v>6</v>
          </cell>
        </row>
        <row r="33">
          <cell r="G33">
            <v>3644509.3680000007</v>
          </cell>
        </row>
        <row r="51">
          <cell r="G51">
            <v>100000</v>
          </cell>
        </row>
        <row r="60">
          <cell r="G60">
            <v>0</v>
          </cell>
        </row>
      </sheetData>
      <sheetData sheetId="27">
        <row r="10">
          <cell r="H10">
            <v>75</v>
          </cell>
        </row>
        <row r="36">
          <cell r="G36">
            <v>50581340</v>
          </cell>
        </row>
        <row r="79">
          <cell r="G79">
            <v>30926000</v>
          </cell>
        </row>
        <row r="88">
          <cell r="G88">
            <v>0</v>
          </cell>
        </row>
      </sheetData>
      <sheetData sheetId="28">
        <row r="10">
          <cell r="H10">
            <v>2</v>
          </cell>
        </row>
        <row r="33">
          <cell r="G33">
            <v>2288673.5120000001</v>
          </cell>
        </row>
        <row r="55">
          <cell r="G55">
            <v>2702000</v>
          </cell>
        </row>
        <row r="65">
          <cell r="G65">
            <v>2875000</v>
          </cell>
        </row>
      </sheetData>
      <sheetData sheetId="29">
        <row r="10">
          <cell r="H10">
            <v>2</v>
          </cell>
        </row>
        <row r="30">
          <cell r="G30">
            <v>820519.18399999989</v>
          </cell>
        </row>
        <row r="47">
          <cell r="G47">
            <v>36000</v>
          </cell>
        </row>
        <row r="51">
          <cell r="G51">
            <v>0</v>
          </cell>
        </row>
      </sheetData>
      <sheetData sheetId="30">
        <row r="10">
          <cell r="H10">
            <v>5</v>
          </cell>
        </row>
        <row r="31">
          <cell r="G31">
            <v>4245594.0240000002</v>
          </cell>
        </row>
        <row r="47">
          <cell r="G47">
            <v>0</v>
          </cell>
        </row>
        <row r="49">
          <cell r="G49">
            <v>0</v>
          </cell>
        </row>
        <row r="53">
          <cell r="G53">
            <v>5576000</v>
          </cell>
        </row>
        <row r="60">
          <cell r="G60">
            <v>1300000</v>
          </cell>
        </row>
      </sheetData>
      <sheetData sheetId="31">
        <row r="28">
          <cell r="G28">
            <v>8310000</v>
          </cell>
        </row>
        <row r="34">
          <cell r="G34">
            <v>130000</v>
          </cell>
        </row>
      </sheetData>
      <sheetData sheetId="32">
        <row r="10">
          <cell r="H10">
            <v>2</v>
          </cell>
        </row>
        <row r="30">
          <cell r="G30">
            <v>547811.03200000001</v>
          </cell>
        </row>
        <row r="34">
          <cell r="G34">
            <v>36000</v>
          </cell>
        </row>
        <row r="36">
          <cell r="G36">
            <v>0</v>
          </cell>
        </row>
      </sheetData>
      <sheetData sheetId="33">
        <row r="10">
          <cell r="H10">
            <v>1</v>
          </cell>
        </row>
        <row r="31">
          <cell r="G31">
            <v>1039707.9760000001</v>
          </cell>
        </row>
        <row r="35">
          <cell r="G35">
            <v>36000</v>
          </cell>
        </row>
        <row r="37">
          <cell r="G37">
            <v>0</v>
          </cell>
        </row>
      </sheetData>
      <sheetData sheetId="34">
        <row r="10">
          <cell r="H10">
            <v>2</v>
          </cell>
        </row>
        <row r="31">
          <cell r="G31">
            <v>2842819.5280000009</v>
          </cell>
        </row>
      </sheetData>
      <sheetData sheetId="35">
        <row r="10">
          <cell r="H10">
            <v>1</v>
          </cell>
        </row>
        <row r="31">
          <cell r="G31">
            <v>1601119.8559999999</v>
          </cell>
        </row>
        <row r="38">
          <cell r="G38">
            <v>36000</v>
          </cell>
        </row>
        <row r="40">
          <cell r="G40">
            <v>0</v>
          </cell>
        </row>
      </sheetData>
      <sheetData sheetId="36">
        <row r="10">
          <cell r="H10">
            <v>2</v>
          </cell>
        </row>
        <row r="31">
          <cell r="G31">
            <v>2130278.0559999999</v>
          </cell>
        </row>
        <row r="51">
          <cell r="G51">
            <v>3781000</v>
          </cell>
        </row>
        <row r="62">
          <cell r="G62">
            <v>12000000</v>
          </cell>
        </row>
      </sheetData>
      <sheetData sheetId="37">
        <row r="10">
          <cell r="H10">
            <v>1</v>
          </cell>
        </row>
        <row r="31">
          <cell r="G31">
            <v>1601119.8559999999</v>
          </cell>
        </row>
        <row r="40">
          <cell r="G40">
            <v>36000</v>
          </cell>
        </row>
        <row r="42">
          <cell r="G42">
            <v>0</v>
          </cell>
        </row>
      </sheetData>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ptdraftonly2021"/>
      <sheetName val="sorcitycoopdev't.office"/>
      <sheetName val="SUMMARY"/>
      <sheetName val="20%DF"/>
      <sheetName val="CMO"/>
      <sheetName val="CMO - SPPA"/>
      <sheetName val="BAC"/>
      <sheetName val="ADMIN"/>
      <sheetName val="CVMO"/>
      <sheetName val="SP"/>
      <sheetName val="SECSP"/>
      <sheetName val="CHRMO"/>
      <sheetName val="CPDO"/>
      <sheetName val="ZONING"/>
      <sheetName val="CCRO"/>
      <sheetName val="BAPAS"/>
      <sheetName val="CGSO"/>
      <sheetName val="CBO"/>
      <sheetName val="ACTNG "/>
      <sheetName val="CTO"/>
      <sheetName val="PERMITS"/>
      <sheetName val="ASSESSOR"/>
      <sheetName val="CSWDO"/>
      <sheetName val="AGRI"/>
      <sheetName val="VET"/>
      <sheetName val="ENGINEER"/>
      <sheetName val="MARKET"/>
      <sheetName val="CSU"/>
      <sheetName val="CENRO "/>
      <sheetName val="CHO"/>
      <sheetName val="LEGAL"/>
      <sheetName val="CPIO"/>
      <sheetName val="CDRRMO"/>
      <sheetName val="TRAFFIC"/>
      <sheetName val="SOLIDWASTE"/>
      <sheetName val="IAS"/>
      <sheetName val="CTFRO"/>
      <sheetName val="PESO"/>
      <sheetName val="TOURISM"/>
      <sheetName val="CDO"/>
      <sheetName val="70% of 5%"/>
      <sheetName val="Sheet2"/>
    </sheetNames>
    <sheetDataSet>
      <sheetData sheetId="0"/>
      <sheetData sheetId="1"/>
      <sheetData sheetId="2"/>
      <sheetData sheetId="3"/>
      <sheetData sheetId="4">
        <row r="10">
          <cell r="H10">
            <v>17</v>
          </cell>
        </row>
      </sheetData>
      <sheetData sheetId="5"/>
      <sheetData sheetId="6">
        <row r="16">
          <cell r="G16">
            <v>0</v>
          </cell>
        </row>
        <row r="34">
          <cell r="G34">
            <v>270000</v>
          </cell>
        </row>
      </sheetData>
      <sheetData sheetId="7"/>
      <sheetData sheetId="8">
        <row r="10">
          <cell r="H10">
            <v>13</v>
          </cell>
        </row>
        <row r="35">
          <cell r="G35">
            <v>7218698.4800000004</v>
          </cell>
        </row>
        <row r="59">
          <cell r="G59">
            <v>15922975.77</v>
          </cell>
        </row>
        <row r="68">
          <cell r="G68">
            <v>2614500</v>
          </cell>
        </row>
      </sheetData>
      <sheetData sheetId="9">
        <row r="10">
          <cell r="H10">
            <v>28</v>
          </cell>
        </row>
        <row r="33">
          <cell r="G33">
            <v>34842254.088000007</v>
          </cell>
        </row>
        <row r="56">
          <cell r="G56">
            <v>0</v>
          </cell>
        </row>
        <row r="65">
          <cell r="G65">
            <v>0</v>
          </cell>
        </row>
      </sheetData>
      <sheetData sheetId="10">
        <row r="10">
          <cell r="H10">
            <v>36</v>
          </cell>
        </row>
        <row r="34">
          <cell r="G34">
            <v>14522372.159999998</v>
          </cell>
        </row>
        <row r="57">
          <cell r="G57">
            <v>2462000</v>
          </cell>
        </row>
        <row r="64">
          <cell r="G64">
            <v>450000</v>
          </cell>
        </row>
      </sheetData>
      <sheetData sheetId="11">
        <row r="10">
          <cell r="H10">
            <v>11</v>
          </cell>
        </row>
        <row r="34">
          <cell r="G34">
            <v>6464413.0639999984</v>
          </cell>
        </row>
        <row r="53">
          <cell r="G53">
            <v>523000</v>
          </cell>
        </row>
        <row r="60">
          <cell r="G60">
            <v>0</v>
          </cell>
        </row>
      </sheetData>
      <sheetData sheetId="12">
        <row r="10">
          <cell r="H10">
            <v>10</v>
          </cell>
        </row>
        <row r="32">
          <cell r="G32">
            <v>7676985.6560000004</v>
          </cell>
        </row>
        <row r="53">
          <cell r="G53">
            <v>1541275</v>
          </cell>
        </row>
        <row r="60">
          <cell r="G60">
            <v>8680900</v>
          </cell>
        </row>
      </sheetData>
      <sheetData sheetId="13">
        <row r="10">
          <cell r="H10">
            <v>14</v>
          </cell>
        </row>
        <row r="33">
          <cell r="G33">
            <v>8344139.8319999995</v>
          </cell>
        </row>
        <row r="53">
          <cell r="G53">
            <v>714000</v>
          </cell>
        </row>
        <row r="62">
          <cell r="G62">
            <v>2050000</v>
          </cell>
        </row>
      </sheetData>
      <sheetData sheetId="14">
        <row r="10">
          <cell r="H10">
            <v>17</v>
          </cell>
        </row>
        <row r="34">
          <cell r="G34">
            <v>8613311.9839999992</v>
          </cell>
        </row>
        <row r="56">
          <cell r="G56">
            <v>1415200</v>
          </cell>
        </row>
        <row r="61">
          <cell r="G61">
            <v>300000</v>
          </cell>
        </row>
      </sheetData>
      <sheetData sheetId="15">
        <row r="10">
          <cell r="H10">
            <v>7</v>
          </cell>
        </row>
        <row r="31">
          <cell r="G31">
            <v>3557057.688000001</v>
          </cell>
        </row>
        <row r="54">
          <cell r="G54">
            <v>1344000</v>
          </cell>
        </row>
        <row r="58">
          <cell r="G58">
            <v>150000</v>
          </cell>
        </row>
      </sheetData>
      <sheetData sheetId="16"/>
      <sheetData sheetId="17">
        <row r="10">
          <cell r="H10">
            <v>13</v>
          </cell>
        </row>
        <row r="34">
          <cell r="G34">
            <v>9484129.5039999988</v>
          </cell>
        </row>
        <row r="58">
          <cell r="G58">
            <v>1551000</v>
          </cell>
        </row>
        <row r="64">
          <cell r="G64">
            <v>30000</v>
          </cell>
        </row>
      </sheetData>
      <sheetData sheetId="18">
        <row r="10">
          <cell r="H10">
            <v>28</v>
          </cell>
        </row>
        <row r="34">
          <cell r="G34">
            <v>15763448.383999998</v>
          </cell>
        </row>
        <row r="55">
          <cell r="G55">
            <v>2965500</v>
          </cell>
        </row>
        <row r="64">
          <cell r="G64">
            <v>2450000</v>
          </cell>
        </row>
      </sheetData>
      <sheetData sheetId="19">
        <row r="10">
          <cell r="H10">
            <v>36</v>
          </cell>
        </row>
        <row r="35">
          <cell r="G35">
            <v>19687181.895999998</v>
          </cell>
        </row>
        <row r="60">
          <cell r="G60">
            <v>2636000</v>
          </cell>
        </row>
        <row r="65">
          <cell r="G65">
            <v>1150000</v>
          </cell>
        </row>
        <row r="74">
          <cell r="G74">
            <v>300000</v>
          </cell>
        </row>
      </sheetData>
      <sheetData sheetId="20">
        <row r="10">
          <cell r="H10">
            <v>6</v>
          </cell>
        </row>
        <row r="31">
          <cell r="G31">
            <v>2964290.0959999994</v>
          </cell>
        </row>
        <row r="56">
          <cell r="G56">
            <v>1960400</v>
          </cell>
        </row>
        <row r="65">
          <cell r="G65">
            <v>900000</v>
          </cell>
        </row>
      </sheetData>
      <sheetData sheetId="21">
        <row r="10">
          <cell r="H10">
            <v>21</v>
          </cell>
        </row>
        <row r="34">
          <cell r="G34">
            <v>12854999.712000001</v>
          </cell>
        </row>
        <row r="61">
          <cell r="G61">
            <v>4331000</v>
          </cell>
        </row>
        <row r="75">
          <cell r="G75">
            <v>3600000</v>
          </cell>
        </row>
      </sheetData>
      <sheetData sheetId="22">
        <row r="10">
          <cell r="H10">
            <v>14</v>
          </cell>
        </row>
        <row r="35">
          <cell r="G35">
            <v>9149986.6079999991</v>
          </cell>
        </row>
        <row r="84">
          <cell r="G84">
            <v>144650000</v>
          </cell>
        </row>
        <row r="89">
          <cell r="G89">
            <v>1000000</v>
          </cell>
        </row>
      </sheetData>
      <sheetData sheetId="23">
        <row r="10">
          <cell r="H10">
            <v>24</v>
          </cell>
        </row>
        <row r="32">
          <cell r="G32">
            <v>12741110.240000002</v>
          </cell>
        </row>
        <row r="68">
          <cell r="G68">
            <v>911000</v>
          </cell>
        </row>
        <row r="75">
          <cell r="G75">
            <v>0</v>
          </cell>
        </row>
      </sheetData>
      <sheetData sheetId="24">
        <row r="10">
          <cell r="H10">
            <v>8</v>
          </cell>
        </row>
        <row r="36">
          <cell r="G36">
            <v>5307760.1120000007</v>
          </cell>
        </row>
        <row r="92">
          <cell r="G92">
            <v>22606500</v>
          </cell>
        </row>
        <row r="121">
          <cell r="G121">
            <v>18055000</v>
          </cell>
        </row>
      </sheetData>
      <sheetData sheetId="25">
        <row r="10">
          <cell r="H10">
            <v>44</v>
          </cell>
        </row>
        <row r="33">
          <cell r="G33">
            <v>19866287.920000002</v>
          </cell>
        </row>
        <row r="58">
          <cell r="G58">
            <v>11503600</v>
          </cell>
        </row>
        <row r="67">
          <cell r="G67">
            <v>20000000</v>
          </cell>
        </row>
      </sheetData>
      <sheetData sheetId="26"/>
      <sheetData sheetId="27">
        <row r="10">
          <cell r="H10">
            <v>7</v>
          </cell>
        </row>
        <row r="31">
          <cell r="G31">
            <v>2637179.688000001</v>
          </cell>
        </row>
        <row r="48">
          <cell r="G48">
            <v>3136000</v>
          </cell>
        </row>
        <row r="50">
          <cell r="G50">
            <v>0</v>
          </cell>
        </row>
      </sheetData>
      <sheetData sheetId="28">
        <row r="10">
          <cell r="H10">
            <v>7</v>
          </cell>
        </row>
        <row r="34">
          <cell r="G34">
            <v>4296632.9840000011</v>
          </cell>
        </row>
        <row r="52">
          <cell r="G52">
            <v>100000</v>
          </cell>
        </row>
        <row r="61">
          <cell r="G61">
            <v>0</v>
          </cell>
        </row>
      </sheetData>
      <sheetData sheetId="29"/>
      <sheetData sheetId="30">
        <row r="10">
          <cell r="H10">
            <v>2</v>
          </cell>
        </row>
        <row r="33">
          <cell r="G33">
            <v>2290521.6800000002</v>
          </cell>
        </row>
        <row r="57">
          <cell r="G57">
            <v>2752000</v>
          </cell>
        </row>
        <row r="67">
          <cell r="G67">
            <v>2875000</v>
          </cell>
        </row>
      </sheetData>
      <sheetData sheetId="31">
        <row r="10">
          <cell r="H10">
            <v>2</v>
          </cell>
        </row>
        <row r="30">
          <cell r="G30">
            <v>820519.18399999989</v>
          </cell>
        </row>
        <row r="47">
          <cell r="G47">
            <v>36000</v>
          </cell>
        </row>
        <row r="51">
          <cell r="G51">
            <v>0</v>
          </cell>
        </row>
      </sheetData>
      <sheetData sheetId="32"/>
      <sheetData sheetId="33">
        <row r="28">
          <cell r="G28">
            <v>8310000</v>
          </cell>
        </row>
        <row r="34">
          <cell r="G34">
            <v>130000</v>
          </cell>
        </row>
      </sheetData>
      <sheetData sheetId="34">
        <row r="10">
          <cell r="H10">
            <v>2</v>
          </cell>
        </row>
        <row r="30">
          <cell r="G30">
            <v>547811.03200000001</v>
          </cell>
        </row>
        <row r="34">
          <cell r="G34">
            <v>36000</v>
          </cell>
        </row>
        <row r="36">
          <cell r="G36">
            <v>0</v>
          </cell>
        </row>
      </sheetData>
      <sheetData sheetId="35">
        <row r="10">
          <cell r="H10">
            <v>1</v>
          </cell>
        </row>
        <row r="31">
          <cell r="G31">
            <v>1039707.9760000001</v>
          </cell>
        </row>
        <row r="35">
          <cell r="G35">
            <v>36000</v>
          </cell>
        </row>
        <row r="37">
          <cell r="G37">
            <v>0</v>
          </cell>
        </row>
      </sheetData>
      <sheetData sheetId="36">
        <row r="10">
          <cell r="H10">
            <v>2</v>
          </cell>
        </row>
        <row r="31">
          <cell r="G31">
            <v>2842819.5280000009</v>
          </cell>
        </row>
      </sheetData>
      <sheetData sheetId="37">
        <row r="10">
          <cell r="H10">
            <v>1</v>
          </cell>
        </row>
        <row r="31">
          <cell r="G31">
            <v>1601119.8559999999</v>
          </cell>
        </row>
        <row r="38">
          <cell r="G38">
            <v>36000</v>
          </cell>
        </row>
      </sheetData>
      <sheetData sheetId="38">
        <row r="10">
          <cell r="H10">
            <v>2</v>
          </cell>
        </row>
        <row r="31">
          <cell r="G31">
            <v>2130278.0559999999</v>
          </cell>
        </row>
        <row r="52">
          <cell r="G52">
            <v>3581000</v>
          </cell>
        </row>
        <row r="63">
          <cell r="G63">
            <v>2300000</v>
          </cell>
        </row>
      </sheetData>
      <sheetData sheetId="39">
        <row r="10">
          <cell r="H10">
            <v>1</v>
          </cell>
        </row>
        <row r="31">
          <cell r="G31">
            <v>1601119.8559999999</v>
          </cell>
        </row>
        <row r="40">
          <cell r="G40">
            <v>36000</v>
          </cell>
        </row>
        <row r="42">
          <cell r="G42">
            <v>0</v>
          </cell>
        </row>
      </sheetData>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POINTAFTERLFC"/>
      <sheetName val="sorcitycoopdev't.office"/>
      <sheetName val="param"/>
      <sheetName val="SUMMARY"/>
      <sheetName val="20%DF"/>
      <sheetName val="SUMMARY (2)"/>
      <sheetName val="70% of 5%"/>
      <sheetName val="1011-CMO"/>
      <sheetName val="SPPA-CMO 2021"/>
      <sheetName val="SPPA-CMO"/>
      <sheetName val="CMO - SPPA"/>
      <sheetName val="1013-CSU"/>
      <sheetName val="1014-BAPAS"/>
      <sheetName val="1015-PERMITS"/>
      <sheetName val="1016-CVMO"/>
      <sheetName val="1021-SP"/>
      <sheetName val="1022-SEC TO SP"/>
      <sheetName val="1031-ADMIN"/>
      <sheetName val="1032-CHRMO"/>
      <sheetName val="1033-PESO"/>
      <sheetName val="1041-CPDO"/>
      <sheetName val="1051-CCRO"/>
      <sheetName val="1061-CGSO"/>
      <sheetName val="1071-CBO"/>
      <sheetName val="1081-ACCTNG"/>
      <sheetName val="1091-CTO"/>
      <sheetName val="1101-ASSESSOR"/>
      <sheetName val="1121-CPIO"/>
      <sheetName val="1131-LEGAL"/>
      <sheetName val="4411-CHO"/>
      <sheetName val="7611-CSWDO"/>
      <sheetName val="8711-AGRI"/>
      <sheetName val="8721-VET"/>
      <sheetName val="8731-CENRO"/>
      <sheetName val="8751-CEO"/>
      <sheetName val="8811-MARKET"/>
      <sheetName val="BAC-BAC"/>
      <sheetName val="CCDO-CCDO"/>
      <sheetName val="CDRRMO-CDRRMO"/>
      <sheetName val="CTFRO-CTFRO"/>
      <sheetName val="CZAO-CZAO"/>
      <sheetName val="IAS-IAS"/>
      <sheetName val="OCIT-OCIT"/>
      <sheetName val="SOLIDWASTE-SOLIDWASTE"/>
      <sheetName val="TOURISM-TOURISM"/>
      <sheetName val="TRAFFIC-TRAFFIC"/>
    </sheetNames>
    <sheetDataSet>
      <sheetData sheetId="0"/>
      <sheetData sheetId="1"/>
      <sheetData sheetId="2">
        <row r="2">
          <cell r="B2">
            <v>2000</v>
          </cell>
        </row>
        <row r="3">
          <cell r="B3">
            <v>6000</v>
          </cell>
        </row>
        <row r="4">
          <cell r="B4">
            <v>5000</v>
          </cell>
        </row>
        <row r="5">
          <cell r="B5">
            <v>150</v>
          </cell>
        </row>
        <row r="6">
          <cell r="B6">
            <v>150</v>
          </cell>
        </row>
        <row r="7">
          <cell r="B7">
            <v>5000</v>
          </cell>
        </row>
        <row r="8">
          <cell r="B8">
            <v>5000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37">
          <cell r="G37">
            <v>578800</v>
          </cell>
        </row>
        <row r="39">
          <cell r="G39">
            <v>0</v>
          </cell>
        </row>
      </sheetData>
      <sheetData sheetId="40"/>
      <sheetData sheetId="41"/>
      <sheetData sheetId="42">
        <row r="10">
          <cell r="H10">
            <v>2</v>
          </cell>
        </row>
        <row r="34">
          <cell r="G34">
            <v>3148671.8959999997</v>
          </cell>
        </row>
        <row r="43">
          <cell r="G43">
            <v>316000</v>
          </cell>
        </row>
        <row r="45">
          <cell r="G45">
            <v>0</v>
          </cell>
        </row>
      </sheetData>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rd_class_sg"/>
      <sheetName val="first_class_sg"/>
      <sheetName val="HAZZARD PAY"/>
      <sheetName val="1011-CMO"/>
      <sheetName val="1013-CSU"/>
      <sheetName val="1014-BAPAS"/>
      <sheetName val="1015-PERMITS"/>
      <sheetName val="1016-CVMO"/>
      <sheetName val="1021-SP"/>
      <sheetName val="1022-SECSP"/>
      <sheetName val="1031-ADMIN"/>
      <sheetName val="1032-CHRMO"/>
      <sheetName val="1033-PESO"/>
      <sheetName val="1041-CPDO"/>
      <sheetName val="1051-CCRO"/>
      <sheetName val="1061-CGSO"/>
      <sheetName val="1071-CBO"/>
      <sheetName val="1081-ACCTG"/>
      <sheetName val="1091-CTO"/>
      <sheetName val="1101-ASSESSOR"/>
      <sheetName val="1121-CPIO"/>
      <sheetName val="1131-LEGAL"/>
      <sheetName val="4411-CHO"/>
      <sheetName val="4411-CHO - LP"/>
      <sheetName val="7611-CSWDO"/>
      <sheetName val="8711-AGRI"/>
      <sheetName val="8721-VET"/>
      <sheetName val="8731-CENRO"/>
      <sheetName val="8731-CEO"/>
      <sheetName val="8811-MARKET"/>
      <sheetName val="CCDO-CCDO"/>
      <sheetName val="CDRRMO-CDRRMO"/>
      <sheetName val="CTFRO-CTFRO"/>
      <sheetName val="CZAO-CZAO"/>
      <sheetName val="IAS-IAS"/>
      <sheetName val="OCIT-OCIT"/>
      <sheetName val="SOLIDWASTE-SOLIDWASTE"/>
      <sheetName val="TOURISM-TOURISM"/>
      <sheetName val="CASUAL-CVMO"/>
      <sheetName val="CASUAL-S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4">
          <cell r="H14">
            <v>0</v>
          </cell>
        </row>
      </sheetData>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76"/>
  <sheetViews>
    <sheetView view="pageBreakPreview" zoomScale="85" zoomScaleSheetLayoutView="85" workbookViewId="0">
      <pane xSplit="2" ySplit="1" topLeftCell="C2" activePane="bottomRight" state="frozen"/>
      <selection activeCell="G83" sqref="G83"/>
      <selection pane="topRight" activeCell="G83" sqref="G83"/>
      <selection pane="bottomLeft" activeCell="G83" sqref="G83"/>
      <selection pane="bottomRight" activeCell="C9" sqref="C9"/>
    </sheetView>
  </sheetViews>
  <sheetFormatPr defaultColWidth="9.140625" defaultRowHeight="21" x14ac:dyDescent="0.35"/>
  <cols>
    <col min="1" max="1" width="32.5703125" style="5" customWidth="1"/>
    <col min="2" max="3" width="19.5703125" style="299" customWidth="1"/>
    <col min="4" max="4" width="20.7109375" style="299" customWidth="1"/>
    <col min="5" max="7" width="20.7109375" style="5" customWidth="1"/>
    <col min="8" max="8" width="23.42578125" style="5" bestFit="1" customWidth="1"/>
    <col min="9" max="9" width="34.140625" customWidth="1"/>
    <col min="10" max="10" width="32.28515625" bestFit="1" customWidth="1"/>
    <col min="11" max="11" width="39.28515625" style="36" customWidth="1"/>
    <col min="12" max="12" width="26.28515625" style="36" customWidth="1"/>
    <col min="13" max="13" width="26.140625" style="36" bestFit="1" customWidth="1"/>
    <col min="14" max="14" width="32.42578125" style="36" customWidth="1"/>
    <col min="15" max="15" width="16.28515625" style="36" bestFit="1" customWidth="1"/>
    <col min="16" max="16" width="10.140625" style="36" bestFit="1" customWidth="1"/>
    <col min="17" max="17" width="16.28515625" bestFit="1" customWidth="1"/>
  </cols>
  <sheetData>
    <row r="1" spans="1:16" x14ac:dyDescent="0.35">
      <c r="A1" s="242" t="s">
        <v>558</v>
      </c>
      <c r="B1" s="307"/>
      <c r="C1" s="20"/>
      <c r="D1" s="20"/>
      <c r="E1" s="20"/>
      <c r="F1"/>
      <c r="G1"/>
      <c r="H1"/>
      <c r="I1" s="36"/>
      <c r="K1"/>
      <c r="L1"/>
      <c r="M1"/>
      <c r="N1"/>
      <c r="O1"/>
      <c r="P1"/>
    </row>
    <row r="2" spans="1:16" x14ac:dyDescent="0.35">
      <c r="A2" s="242"/>
      <c r="B2" s="307">
        <v>2020</v>
      </c>
      <c r="C2" s="20" t="s">
        <v>575</v>
      </c>
      <c r="D2" s="20" t="s">
        <v>576</v>
      </c>
      <c r="E2" s="20"/>
      <c r="F2"/>
      <c r="G2"/>
      <c r="H2"/>
      <c r="I2" s="36"/>
      <c r="K2"/>
      <c r="L2"/>
      <c r="M2"/>
      <c r="N2"/>
      <c r="O2"/>
      <c r="P2"/>
    </row>
    <row r="3" spans="1:16" ht="31.5" x14ac:dyDescent="0.35">
      <c r="A3" s="243" t="s">
        <v>297</v>
      </c>
      <c r="B3" s="244">
        <v>45627934.079999998</v>
      </c>
      <c r="C3" s="244">
        <v>60776000</v>
      </c>
      <c r="D3" s="245" t="e">
        <f>#REF!</f>
        <v>#REF!</v>
      </c>
      <c r="E3" s="2"/>
      <c r="F3"/>
      <c r="G3"/>
      <c r="H3"/>
      <c r="I3" s="36"/>
      <c r="K3"/>
      <c r="L3"/>
      <c r="M3"/>
      <c r="N3"/>
      <c r="O3"/>
      <c r="P3"/>
    </row>
    <row r="4" spans="1:16" ht="31.5" x14ac:dyDescent="0.35">
      <c r="A4" s="243" t="s">
        <v>300</v>
      </c>
      <c r="B4" s="244">
        <v>53600000</v>
      </c>
      <c r="C4" s="244">
        <v>68811950</v>
      </c>
      <c r="D4" s="245" t="e">
        <f>#REF!</f>
        <v>#REF!</v>
      </c>
      <c r="E4" s="2"/>
      <c r="F4"/>
      <c r="G4"/>
      <c r="H4"/>
      <c r="I4" s="36"/>
      <c r="K4"/>
      <c r="L4"/>
      <c r="M4"/>
      <c r="N4"/>
      <c r="O4"/>
      <c r="P4"/>
    </row>
    <row r="5" spans="1:16" x14ac:dyDescent="0.35">
      <c r="A5" s="243" t="s">
        <v>515</v>
      </c>
      <c r="B5" s="244">
        <v>32000000</v>
      </c>
      <c r="C5" s="244">
        <v>66761800</v>
      </c>
      <c r="D5" s="245" t="e">
        <f>#REF!</f>
        <v>#REF!</v>
      </c>
      <c r="E5" s="2"/>
      <c r="F5"/>
      <c r="G5"/>
      <c r="H5"/>
      <c r="I5" s="36"/>
      <c r="K5"/>
      <c r="L5"/>
      <c r="M5"/>
      <c r="N5"/>
      <c r="O5"/>
      <c r="P5"/>
    </row>
    <row r="6" spans="1:16" ht="61.5" x14ac:dyDescent="0.35">
      <c r="A6" s="243" t="s">
        <v>303</v>
      </c>
      <c r="B6" s="244">
        <v>60000000</v>
      </c>
      <c r="C6" s="244">
        <v>122680000</v>
      </c>
      <c r="D6" s="245" t="e">
        <f>#REF!</f>
        <v>#REF!</v>
      </c>
      <c r="E6" s="2"/>
      <c r="F6"/>
      <c r="G6"/>
      <c r="H6"/>
      <c r="I6" s="36"/>
      <c r="K6"/>
      <c r="L6"/>
      <c r="M6"/>
      <c r="N6"/>
      <c r="O6"/>
      <c r="P6"/>
    </row>
    <row r="7" spans="1:16" ht="46.5" x14ac:dyDescent="0.35">
      <c r="A7" s="243" t="s">
        <v>393</v>
      </c>
      <c r="B7" s="244">
        <v>18000000</v>
      </c>
      <c r="C7" s="244">
        <v>22160000</v>
      </c>
      <c r="D7" s="245" t="e">
        <f>#REF!</f>
        <v>#REF!</v>
      </c>
      <c r="E7" s="2"/>
      <c r="F7"/>
      <c r="G7"/>
      <c r="H7"/>
      <c r="I7" s="36"/>
      <c r="K7"/>
      <c r="L7"/>
      <c r="M7"/>
      <c r="N7"/>
      <c r="O7"/>
      <c r="P7"/>
    </row>
    <row r="8" spans="1:16" ht="31.5" x14ac:dyDescent="0.35">
      <c r="A8" s="243" t="s">
        <v>305</v>
      </c>
      <c r="B8" s="244">
        <v>10000000</v>
      </c>
      <c r="C8" s="244">
        <v>30000000</v>
      </c>
      <c r="D8" s="245" t="e">
        <f>#REF!</f>
        <v>#REF!</v>
      </c>
      <c r="E8" s="2"/>
      <c r="F8"/>
      <c r="G8"/>
      <c r="H8"/>
      <c r="I8" s="36"/>
      <c r="K8"/>
      <c r="L8"/>
      <c r="M8"/>
      <c r="N8"/>
      <c r="O8"/>
      <c r="P8"/>
    </row>
    <row r="9" spans="1:16" ht="46.5" x14ac:dyDescent="0.35">
      <c r="A9" s="243" t="s">
        <v>306</v>
      </c>
      <c r="B9" s="244">
        <v>58650000</v>
      </c>
      <c r="C9" s="244">
        <v>109340000</v>
      </c>
      <c r="D9" s="245" t="e">
        <f>#REF!</f>
        <v>#REF!</v>
      </c>
      <c r="E9" s="2"/>
      <c r="F9"/>
      <c r="G9"/>
      <c r="H9"/>
      <c r="I9" s="36"/>
      <c r="K9"/>
      <c r="L9"/>
      <c r="M9"/>
      <c r="N9"/>
      <c r="O9"/>
      <c r="P9"/>
    </row>
    <row r="10" spans="1:16" ht="46.5" x14ac:dyDescent="0.35">
      <c r="A10" s="243" t="s">
        <v>343</v>
      </c>
      <c r="B10" s="244">
        <v>2200000</v>
      </c>
      <c r="C10" s="244">
        <v>3000000</v>
      </c>
      <c r="D10" s="245" t="e">
        <f>#REF!</f>
        <v>#REF!</v>
      </c>
      <c r="E10" s="2"/>
      <c r="F10"/>
      <c r="G10"/>
      <c r="H10"/>
      <c r="I10" s="36"/>
      <c r="K10"/>
      <c r="L10"/>
      <c r="M10"/>
      <c r="N10"/>
      <c r="O10"/>
      <c r="P10"/>
    </row>
    <row r="11" spans="1:16" ht="31.5" x14ac:dyDescent="0.35">
      <c r="A11" s="243" t="s">
        <v>352</v>
      </c>
      <c r="B11" s="244">
        <v>0</v>
      </c>
      <c r="C11" s="244">
        <v>0</v>
      </c>
      <c r="D11" s="245" t="e">
        <f>#REF!</f>
        <v>#REF!</v>
      </c>
      <c r="E11" s="2"/>
      <c r="F11"/>
      <c r="G11"/>
      <c r="H11"/>
      <c r="I11" s="36"/>
      <c r="K11"/>
      <c r="L11"/>
      <c r="M11"/>
      <c r="N11"/>
      <c r="O11"/>
      <c r="P11"/>
    </row>
    <row r="12" spans="1:16" ht="31.5" x14ac:dyDescent="0.35">
      <c r="A12" s="243" t="s">
        <v>353</v>
      </c>
      <c r="B12" s="244">
        <v>0</v>
      </c>
      <c r="C12" s="244">
        <v>0</v>
      </c>
      <c r="D12" s="245" t="e">
        <f>#REF!</f>
        <v>#REF!</v>
      </c>
      <c r="E12" s="2"/>
      <c r="F12"/>
      <c r="G12"/>
      <c r="H12"/>
      <c r="I12" s="36"/>
      <c r="K12"/>
      <c r="L12"/>
      <c r="M12"/>
      <c r="N12"/>
      <c r="O12"/>
      <c r="P12"/>
    </row>
    <row r="13" spans="1:16" x14ac:dyDescent="0.35">
      <c r="A13" s="297" t="s">
        <v>245</v>
      </c>
      <c r="B13" s="248">
        <f>SUM(B3:B12)</f>
        <v>280077934.07999998</v>
      </c>
      <c r="C13" s="248">
        <f>SUM(C3:C12)</f>
        <v>483529750</v>
      </c>
      <c r="D13" s="248" t="e">
        <f>SUM(D3:D12)</f>
        <v>#REF!</v>
      </c>
      <c r="E13" s="2"/>
      <c r="F13"/>
      <c r="G13"/>
      <c r="H13"/>
      <c r="I13" s="36"/>
      <c r="K13"/>
      <c r="L13"/>
      <c r="M13"/>
      <c r="N13"/>
      <c r="O13"/>
      <c r="P13"/>
    </row>
    <row r="14" spans="1:16" x14ac:dyDescent="0.35">
      <c r="B14" s="20"/>
      <c r="C14" s="20"/>
      <c r="D14" s="2"/>
      <c r="E14"/>
      <c r="F14"/>
      <c r="G14"/>
      <c r="H14"/>
      <c r="I14" s="36"/>
      <c r="K14"/>
      <c r="L14"/>
      <c r="M14"/>
      <c r="N14"/>
      <c r="O14"/>
      <c r="P14"/>
    </row>
    <row r="15" spans="1:16" x14ac:dyDescent="0.35">
      <c r="B15" s="20"/>
      <c r="C15" s="20"/>
      <c r="D15" s="2"/>
      <c r="E15"/>
      <c r="F15"/>
      <c r="G15"/>
      <c r="H15"/>
      <c r="I15" s="36"/>
      <c r="K15"/>
      <c r="L15"/>
      <c r="M15"/>
      <c r="N15"/>
      <c r="O15"/>
      <c r="P15"/>
    </row>
    <row r="16" spans="1:16" x14ac:dyDescent="0.35">
      <c r="B16" s="20"/>
      <c r="C16" s="20"/>
      <c r="D16" s="2"/>
      <c r="E16"/>
      <c r="F16"/>
      <c r="G16"/>
      <c r="H16"/>
      <c r="I16" s="36"/>
      <c r="K16"/>
      <c r="L16"/>
      <c r="M16"/>
      <c r="N16"/>
      <c r="O16"/>
      <c r="P16"/>
    </row>
    <row r="17" spans="2:16" x14ac:dyDescent="0.35">
      <c r="B17" s="20"/>
      <c r="C17" s="20"/>
      <c r="D17" s="2"/>
      <c r="E17"/>
      <c r="F17"/>
      <c r="G17"/>
      <c r="H17"/>
      <c r="I17" s="36"/>
      <c r="K17"/>
      <c r="L17"/>
      <c r="M17"/>
      <c r="N17"/>
      <c r="O17"/>
      <c r="P17"/>
    </row>
    <row r="18" spans="2:16" x14ac:dyDescent="0.35">
      <c r="B18" s="20"/>
      <c r="C18" s="20"/>
      <c r="D18" s="2"/>
      <c r="E18"/>
      <c r="F18"/>
      <c r="G18"/>
      <c r="H18"/>
      <c r="I18" s="36"/>
      <c r="K18"/>
      <c r="L18"/>
      <c r="M18"/>
      <c r="N18"/>
      <c r="O18"/>
      <c r="P18"/>
    </row>
    <row r="19" spans="2:16" x14ac:dyDescent="0.35">
      <c r="B19" s="20"/>
      <c r="C19" s="20"/>
      <c r="D19" s="2"/>
      <c r="E19"/>
      <c r="F19"/>
      <c r="G19"/>
      <c r="H19"/>
      <c r="I19" s="36"/>
      <c r="K19"/>
      <c r="L19"/>
      <c r="M19"/>
      <c r="N19"/>
      <c r="O19"/>
      <c r="P19"/>
    </row>
    <row r="20" spans="2:16" x14ac:dyDescent="0.35">
      <c r="B20" s="20"/>
      <c r="C20" s="20"/>
      <c r="D20" s="2"/>
      <c r="E20"/>
      <c r="F20"/>
      <c r="G20"/>
      <c r="H20"/>
      <c r="I20" s="36"/>
      <c r="K20"/>
      <c r="L20"/>
      <c r="M20"/>
      <c r="N20"/>
      <c r="O20"/>
      <c r="P20"/>
    </row>
    <row r="21" spans="2:16" x14ac:dyDescent="0.35">
      <c r="B21" s="20"/>
      <c r="C21" s="20"/>
      <c r="D21" s="2"/>
      <c r="E21"/>
      <c r="F21"/>
      <c r="G21"/>
      <c r="H21"/>
      <c r="I21" s="36"/>
      <c r="K21"/>
      <c r="L21"/>
      <c r="M21"/>
      <c r="N21"/>
      <c r="O21"/>
      <c r="P21"/>
    </row>
    <row r="22" spans="2:16" x14ac:dyDescent="0.35">
      <c r="B22" s="20"/>
      <c r="C22" s="20"/>
      <c r="D22" s="2"/>
      <c r="E22"/>
      <c r="F22"/>
      <c r="G22"/>
      <c r="H22"/>
      <c r="I22" s="36"/>
      <c r="K22"/>
      <c r="L22"/>
      <c r="M22"/>
      <c r="N22"/>
      <c r="O22"/>
      <c r="P22"/>
    </row>
    <row r="23" spans="2:16" x14ac:dyDescent="0.35">
      <c r="B23" s="20"/>
      <c r="C23" s="20"/>
      <c r="D23" s="2"/>
      <c r="E23"/>
      <c r="F23"/>
      <c r="G23"/>
      <c r="H23"/>
      <c r="I23" s="36"/>
      <c r="K23"/>
      <c r="L23"/>
      <c r="M23"/>
      <c r="N23"/>
      <c r="O23"/>
      <c r="P23"/>
    </row>
    <row r="24" spans="2:16" x14ac:dyDescent="0.35">
      <c r="B24" s="20"/>
      <c r="C24" s="20"/>
      <c r="D24" s="2"/>
      <c r="E24"/>
      <c r="F24"/>
      <c r="G24"/>
      <c r="H24"/>
      <c r="I24" s="36"/>
      <c r="K24"/>
      <c r="L24"/>
      <c r="M24"/>
      <c r="N24"/>
      <c r="O24"/>
      <c r="P24"/>
    </row>
    <row r="25" spans="2:16" x14ac:dyDescent="0.35">
      <c r="B25" s="20"/>
      <c r="C25" s="20"/>
      <c r="D25" s="2"/>
      <c r="E25"/>
      <c r="F25"/>
      <c r="G25"/>
      <c r="H25"/>
      <c r="I25" s="36"/>
      <c r="K25"/>
      <c r="L25"/>
      <c r="M25"/>
      <c r="N25"/>
      <c r="O25"/>
      <c r="P25"/>
    </row>
    <row r="26" spans="2:16" x14ac:dyDescent="0.35">
      <c r="B26" s="20"/>
      <c r="C26" s="20"/>
      <c r="D26" s="2"/>
      <c r="E26"/>
      <c r="F26"/>
      <c r="G26"/>
      <c r="H26"/>
      <c r="I26" s="36"/>
      <c r="K26"/>
      <c r="L26"/>
      <c r="M26"/>
      <c r="N26"/>
      <c r="O26"/>
      <c r="P26"/>
    </row>
    <row r="27" spans="2:16" x14ac:dyDescent="0.35">
      <c r="B27" s="20"/>
      <c r="C27" s="20"/>
      <c r="D27" s="2"/>
      <c r="E27"/>
      <c r="F27"/>
      <c r="G27"/>
      <c r="H27"/>
      <c r="I27" s="36"/>
      <c r="K27"/>
      <c r="L27"/>
      <c r="M27"/>
      <c r="N27"/>
      <c r="O27"/>
      <c r="P27"/>
    </row>
    <row r="28" spans="2:16" x14ac:dyDescent="0.35">
      <c r="B28" s="20"/>
      <c r="C28" s="20"/>
      <c r="D28" s="2"/>
      <c r="E28"/>
      <c r="F28"/>
      <c r="G28"/>
      <c r="H28"/>
      <c r="I28" s="36"/>
      <c r="K28"/>
      <c r="L28"/>
      <c r="M28"/>
      <c r="N28"/>
      <c r="O28"/>
      <c r="P28"/>
    </row>
    <row r="29" spans="2:16" x14ac:dyDescent="0.35">
      <c r="B29" s="20"/>
      <c r="C29" s="20"/>
      <c r="D29" s="2"/>
      <c r="E29"/>
      <c r="F29"/>
      <c r="G29"/>
      <c r="H29"/>
      <c r="I29" s="36"/>
      <c r="K29"/>
      <c r="L29"/>
      <c r="M29"/>
      <c r="N29"/>
      <c r="O29"/>
      <c r="P29"/>
    </row>
    <row r="30" spans="2:16" x14ac:dyDescent="0.35">
      <c r="B30" s="20"/>
      <c r="C30" s="20"/>
      <c r="D30" s="2"/>
      <c r="E30"/>
      <c r="F30"/>
      <c r="G30"/>
      <c r="H30"/>
      <c r="I30" s="36"/>
      <c r="K30"/>
      <c r="L30"/>
      <c r="M30"/>
      <c r="N30"/>
      <c r="O30"/>
      <c r="P30"/>
    </row>
    <row r="31" spans="2:16" x14ac:dyDescent="0.35">
      <c r="B31" s="20"/>
      <c r="C31" s="20"/>
      <c r="D31" s="2"/>
      <c r="E31"/>
      <c r="F31"/>
      <c r="G31"/>
      <c r="H31"/>
      <c r="I31" s="36"/>
      <c r="K31"/>
      <c r="L31"/>
      <c r="M31"/>
      <c r="N31"/>
      <c r="O31"/>
      <c r="P31"/>
    </row>
    <row r="32" spans="2:16" x14ac:dyDescent="0.35">
      <c r="B32" s="20"/>
      <c r="C32" s="20"/>
      <c r="D32" s="2"/>
      <c r="E32"/>
      <c r="F32"/>
      <c r="G32"/>
      <c r="H32"/>
      <c r="I32" s="36"/>
      <c r="K32"/>
      <c r="L32"/>
      <c r="M32"/>
      <c r="N32"/>
      <c r="O32"/>
      <c r="P32"/>
    </row>
    <row r="33" spans="2:16" x14ac:dyDescent="0.35">
      <c r="B33" s="20"/>
      <c r="C33" s="20"/>
      <c r="D33" s="2"/>
      <c r="E33"/>
      <c r="F33"/>
      <c r="G33"/>
      <c r="H33"/>
      <c r="I33" s="36"/>
      <c r="K33"/>
      <c r="L33"/>
      <c r="M33"/>
      <c r="N33"/>
      <c r="O33"/>
      <c r="P33"/>
    </row>
    <row r="34" spans="2:16" x14ac:dyDescent="0.35">
      <c r="B34" s="20"/>
      <c r="C34" s="20"/>
      <c r="D34" s="2"/>
      <c r="E34"/>
      <c r="F34"/>
      <c r="G34"/>
      <c r="H34"/>
      <c r="I34" s="36"/>
      <c r="K34"/>
      <c r="L34"/>
      <c r="M34"/>
      <c r="N34"/>
      <c r="O34"/>
      <c r="P34"/>
    </row>
    <row r="35" spans="2:16" x14ac:dyDescent="0.35">
      <c r="B35" s="20"/>
      <c r="C35" s="20"/>
      <c r="D35" s="2"/>
      <c r="E35"/>
      <c r="F35"/>
      <c r="G35"/>
      <c r="H35"/>
      <c r="I35" s="36"/>
      <c r="K35"/>
      <c r="L35"/>
      <c r="M35"/>
      <c r="N35"/>
      <c r="O35"/>
      <c r="P35"/>
    </row>
    <row r="36" spans="2:16" x14ac:dyDescent="0.35">
      <c r="B36" s="20"/>
      <c r="C36" s="20"/>
      <c r="D36" s="2"/>
      <c r="E36"/>
      <c r="F36"/>
      <c r="G36"/>
      <c r="H36"/>
      <c r="I36" s="36"/>
      <c r="K36"/>
      <c r="L36"/>
      <c r="M36"/>
      <c r="N36"/>
      <c r="O36"/>
      <c r="P36"/>
    </row>
    <row r="37" spans="2:16" x14ac:dyDescent="0.35">
      <c r="B37" s="20"/>
      <c r="C37" s="20"/>
      <c r="D37" s="2"/>
      <c r="E37"/>
      <c r="F37"/>
      <c r="G37"/>
      <c r="H37"/>
      <c r="I37" s="36"/>
      <c r="K37"/>
      <c r="L37"/>
      <c r="M37"/>
      <c r="N37"/>
      <c r="O37"/>
      <c r="P37"/>
    </row>
    <row r="38" spans="2:16" x14ac:dyDescent="0.35">
      <c r="B38" s="20"/>
      <c r="C38" s="20"/>
      <c r="D38" s="2"/>
      <c r="E38"/>
      <c r="F38"/>
      <c r="G38"/>
      <c r="H38"/>
      <c r="I38" s="36"/>
      <c r="K38"/>
      <c r="L38"/>
      <c r="M38"/>
      <c r="N38"/>
      <c r="O38"/>
      <c r="P38"/>
    </row>
    <row r="39" spans="2:16" x14ac:dyDescent="0.35">
      <c r="B39" s="20"/>
      <c r="C39" s="20"/>
      <c r="D39" s="2"/>
      <c r="E39"/>
      <c r="F39"/>
      <c r="G39"/>
      <c r="H39"/>
      <c r="I39" s="36"/>
      <c r="K39"/>
      <c r="L39"/>
      <c r="M39"/>
      <c r="N39"/>
      <c r="O39"/>
      <c r="P39"/>
    </row>
    <row r="40" spans="2:16" x14ac:dyDescent="0.35">
      <c r="B40" s="20"/>
      <c r="C40" s="20"/>
      <c r="D40" s="2"/>
      <c r="E40"/>
      <c r="F40"/>
      <c r="G40"/>
      <c r="H40"/>
      <c r="I40" s="36"/>
      <c r="K40"/>
      <c r="L40"/>
      <c r="M40"/>
      <c r="N40"/>
      <c r="O40"/>
      <c r="P40"/>
    </row>
    <row r="41" spans="2:16" x14ac:dyDescent="0.35">
      <c r="B41" s="20"/>
      <c r="C41" s="20"/>
      <c r="D41" s="2"/>
      <c r="E41"/>
      <c r="F41"/>
      <c r="G41"/>
      <c r="H41"/>
      <c r="I41" s="36"/>
      <c r="K41"/>
      <c r="L41"/>
      <c r="M41"/>
      <c r="N41"/>
      <c r="O41"/>
      <c r="P41"/>
    </row>
    <row r="42" spans="2:16" x14ac:dyDescent="0.35">
      <c r="B42" s="20"/>
      <c r="C42" s="20"/>
      <c r="D42" s="2"/>
      <c r="E42"/>
      <c r="F42"/>
      <c r="G42"/>
      <c r="H42"/>
      <c r="I42" s="36"/>
      <c r="K42"/>
      <c r="L42"/>
      <c r="M42"/>
      <c r="N42"/>
      <c r="O42"/>
      <c r="P42"/>
    </row>
    <row r="43" spans="2:16" x14ac:dyDescent="0.35">
      <c r="B43" s="20"/>
      <c r="C43" s="20"/>
      <c r="D43" s="2"/>
      <c r="E43"/>
      <c r="F43"/>
      <c r="G43"/>
      <c r="H43"/>
      <c r="I43" s="36"/>
      <c r="K43"/>
      <c r="L43"/>
      <c r="M43"/>
      <c r="N43"/>
      <c r="O43"/>
      <c r="P43"/>
    </row>
    <row r="44" spans="2:16" x14ac:dyDescent="0.35">
      <c r="B44" s="20"/>
      <c r="C44" s="20"/>
      <c r="D44" s="2"/>
      <c r="E44"/>
      <c r="F44"/>
      <c r="G44"/>
      <c r="H44"/>
      <c r="I44" s="36"/>
      <c r="K44"/>
      <c r="L44"/>
      <c r="M44"/>
      <c r="N44"/>
      <c r="O44"/>
      <c r="P44"/>
    </row>
    <row r="45" spans="2:16" x14ac:dyDescent="0.35">
      <c r="B45" s="20"/>
      <c r="C45" s="20"/>
      <c r="D45" s="2"/>
      <c r="E45"/>
      <c r="F45"/>
      <c r="G45"/>
      <c r="H45"/>
      <c r="I45" s="36"/>
      <c r="K45"/>
      <c r="L45"/>
      <c r="M45"/>
      <c r="N45"/>
      <c r="O45"/>
      <c r="P45"/>
    </row>
    <row r="46" spans="2:16" x14ac:dyDescent="0.35">
      <c r="B46" s="20"/>
      <c r="C46" s="20"/>
      <c r="D46" s="2"/>
      <c r="E46"/>
      <c r="F46"/>
      <c r="G46"/>
      <c r="H46"/>
      <c r="I46" s="36"/>
      <c r="K46"/>
      <c r="L46"/>
      <c r="M46"/>
      <c r="N46"/>
      <c r="O46"/>
      <c r="P46"/>
    </row>
    <row r="47" spans="2:16" x14ac:dyDescent="0.35">
      <c r="B47" s="20"/>
      <c r="C47" s="20"/>
      <c r="D47" s="2"/>
      <c r="E47"/>
      <c r="F47"/>
      <c r="G47"/>
      <c r="H47"/>
      <c r="I47" s="36"/>
      <c r="K47"/>
      <c r="L47"/>
      <c r="M47"/>
      <c r="N47"/>
      <c r="O47"/>
      <c r="P47"/>
    </row>
    <row r="48" spans="2:16" x14ac:dyDescent="0.35">
      <c r="B48" s="20"/>
      <c r="C48" s="20"/>
      <c r="D48" s="2"/>
      <c r="E48"/>
      <c r="F48"/>
      <c r="G48"/>
      <c r="H48"/>
      <c r="I48" s="36"/>
      <c r="K48"/>
      <c r="L48"/>
      <c r="M48"/>
      <c r="N48"/>
      <c r="O48"/>
      <c r="P48"/>
    </row>
    <row r="49" spans="2:16" x14ac:dyDescent="0.35">
      <c r="B49" s="20"/>
      <c r="C49" s="20"/>
      <c r="D49" s="2"/>
      <c r="E49"/>
      <c r="F49"/>
      <c r="G49"/>
      <c r="H49"/>
      <c r="I49" s="36"/>
      <c r="K49"/>
      <c r="L49"/>
      <c r="M49"/>
      <c r="N49"/>
      <c r="O49"/>
      <c r="P49"/>
    </row>
    <row r="50" spans="2:16" x14ac:dyDescent="0.35">
      <c r="B50" s="20"/>
      <c r="C50" s="20"/>
      <c r="D50" s="2"/>
      <c r="E50"/>
      <c r="F50"/>
      <c r="G50"/>
      <c r="H50"/>
      <c r="I50" s="36"/>
      <c r="K50"/>
      <c r="L50"/>
      <c r="M50"/>
      <c r="N50"/>
      <c r="O50"/>
      <c r="P50"/>
    </row>
    <row r="51" spans="2:16" x14ac:dyDescent="0.35">
      <c r="B51" s="20"/>
      <c r="C51" s="20"/>
      <c r="D51" s="2"/>
      <c r="E51"/>
      <c r="F51"/>
      <c r="G51"/>
      <c r="H51"/>
      <c r="I51" s="36"/>
      <c r="K51"/>
      <c r="L51"/>
      <c r="M51"/>
      <c r="N51"/>
      <c r="O51"/>
      <c r="P51"/>
    </row>
    <row r="52" spans="2:16" x14ac:dyDescent="0.35">
      <c r="B52" s="20"/>
      <c r="C52" s="20"/>
      <c r="D52" s="2"/>
      <c r="E52"/>
      <c r="F52"/>
      <c r="G52"/>
      <c r="H52"/>
      <c r="I52" s="36"/>
      <c r="K52"/>
      <c r="L52"/>
      <c r="M52"/>
      <c r="N52"/>
      <c r="O52"/>
      <c r="P52"/>
    </row>
    <row r="53" spans="2:16" x14ac:dyDescent="0.35">
      <c r="B53" s="20"/>
      <c r="C53" s="20"/>
      <c r="D53" s="2"/>
      <c r="E53"/>
      <c r="F53"/>
      <c r="G53"/>
      <c r="H53"/>
      <c r="I53" s="36"/>
      <c r="K53"/>
      <c r="L53"/>
      <c r="M53"/>
      <c r="N53"/>
      <c r="O53"/>
      <c r="P53"/>
    </row>
    <row r="54" spans="2:16" x14ac:dyDescent="0.35">
      <c r="B54" s="20"/>
      <c r="C54" s="20"/>
      <c r="D54" s="2"/>
      <c r="E54"/>
      <c r="F54"/>
      <c r="G54"/>
      <c r="H54"/>
      <c r="I54" s="36"/>
      <c r="K54"/>
      <c r="L54"/>
      <c r="M54"/>
      <c r="N54"/>
      <c r="O54"/>
      <c r="P54"/>
    </row>
    <row r="55" spans="2:16" x14ac:dyDescent="0.35">
      <c r="B55" s="20"/>
      <c r="C55" s="20"/>
      <c r="D55" s="2"/>
      <c r="E55"/>
      <c r="F55"/>
      <c r="G55"/>
      <c r="H55"/>
      <c r="I55" s="36"/>
      <c r="K55"/>
      <c r="L55"/>
      <c r="M55"/>
      <c r="N55"/>
      <c r="O55"/>
      <c r="P55"/>
    </row>
    <row r="56" spans="2:16" x14ac:dyDescent="0.35">
      <c r="B56" s="20"/>
      <c r="C56" s="20"/>
      <c r="D56" s="2"/>
      <c r="E56"/>
      <c r="F56"/>
      <c r="G56"/>
      <c r="H56"/>
      <c r="I56" s="36"/>
      <c r="K56"/>
      <c r="L56"/>
      <c r="M56"/>
      <c r="N56"/>
      <c r="O56"/>
      <c r="P56"/>
    </row>
    <row r="57" spans="2:16" x14ac:dyDescent="0.35">
      <c r="B57" s="20"/>
      <c r="C57" s="20"/>
      <c r="D57" s="2"/>
      <c r="E57"/>
      <c r="F57"/>
      <c r="G57"/>
      <c r="H57"/>
      <c r="I57" s="36"/>
      <c r="K57"/>
      <c r="L57"/>
      <c r="M57"/>
      <c r="N57"/>
      <c r="O57"/>
      <c r="P57"/>
    </row>
    <row r="58" spans="2:16" x14ac:dyDescent="0.35">
      <c r="B58" s="20"/>
      <c r="C58" s="20"/>
      <c r="D58" s="2"/>
      <c r="E58"/>
      <c r="F58"/>
      <c r="G58"/>
      <c r="H58"/>
      <c r="I58" s="36"/>
      <c r="K58"/>
      <c r="L58"/>
      <c r="M58"/>
      <c r="N58"/>
      <c r="O58"/>
      <c r="P58"/>
    </row>
    <row r="59" spans="2:16" x14ac:dyDescent="0.35">
      <c r="B59" s="20"/>
      <c r="C59" s="20"/>
      <c r="D59" s="2"/>
      <c r="E59"/>
      <c r="F59"/>
      <c r="G59"/>
      <c r="H59"/>
      <c r="I59" s="36"/>
      <c r="K59"/>
      <c r="L59"/>
      <c r="M59"/>
      <c r="N59"/>
      <c r="O59"/>
      <c r="P59"/>
    </row>
    <row r="60" spans="2:16" x14ac:dyDescent="0.35">
      <c r="B60" s="20"/>
      <c r="C60" s="20"/>
      <c r="D60" s="2"/>
      <c r="E60"/>
      <c r="F60"/>
      <c r="G60"/>
      <c r="H60"/>
      <c r="I60" s="36"/>
      <c r="K60"/>
      <c r="L60"/>
      <c r="M60"/>
      <c r="N60"/>
      <c r="O60"/>
      <c r="P60"/>
    </row>
    <row r="61" spans="2:16" x14ac:dyDescent="0.35">
      <c r="B61" s="20"/>
      <c r="C61" s="20"/>
      <c r="D61" s="2"/>
      <c r="E61"/>
      <c r="F61"/>
      <c r="G61"/>
      <c r="H61"/>
      <c r="I61" s="36"/>
      <c r="K61"/>
      <c r="L61"/>
      <c r="M61"/>
      <c r="N61"/>
      <c r="O61"/>
      <c r="P61"/>
    </row>
    <row r="62" spans="2:16" x14ac:dyDescent="0.35">
      <c r="B62" s="20"/>
      <c r="C62" s="20"/>
      <c r="D62" s="2"/>
      <c r="E62"/>
      <c r="F62"/>
      <c r="G62"/>
      <c r="H62"/>
      <c r="I62" s="36"/>
      <c r="K62"/>
      <c r="L62"/>
      <c r="M62"/>
      <c r="N62"/>
      <c r="O62"/>
      <c r="P62"/>
    </row>
    <row r="63" spans="2:16" x14ac:dyDescent="0.35">
      <c r="B63" s="20"/>
      <c r="C63" s="20"/>
      <c r="D63" s="2"/>
      <c r="E63"/>
      <c r="F63"/>
      <c r="G63"/>
      <c r="H63"/>
      <c r="I63" s="36"/>
      <c r="K63"/>
      <c r="L63"/>
      <c r="M63"/>
      <c r="N63"/>
      <c r="O63"/>
      <c r="P63"/>
    </row>
    <row r="64" spans="2:16" x14ac:dyDescent="0.35">
      <c r="B64" s="20"/>
      <c r="C64" s="20"/>
      <c r="D64" s="2"/>
      <c r="E64"/>
      <c r="F64"/>
      <c r="G64"/>
      <c r="H64"/>
      <c r="I64" s="36"/>
      <c r="K64"/>
      <c r="L64"/>
      <c r="M64"/>
      <c r="N64"/>
      <c r="O64"/>
      <c r="P64"/>
    </row>
    <row r="65" spans="1:16" x14ac:dyDescent="0.35">
      <c r="B65" s="20"/>
      <c r="C65" s="20"/>
      <c r="D65" s="2"/>
      <c r="E65"/>
      <c r="F65"/>
      <c r="G65"/>
      <c r="H65"/>
      <c r="I65" s="36"/>
      <c r="K65"/>
      <c r="L65"/>
      <c r="M65"/>
      <c r="N65"/>
      <c r="O65"/>
      <c r="P65"/>
    </row>
    <row r="66" spans="1:16" x14ac:dyDescent="0.35">
      <c r="B66" s="20"/>
      <c r="C66" s="20"/>
      <c r="D66" s="2"/>
      <c r="E66"/>
      <c r="F66"/>
      <c r="G66"/>
      <c r="H66"/>
      <c r="I66" s="36"/>
      <c r="K66"/>
      <c r="L66"/>
      <c r="M66"/>
      <c r="N66"/>
      <c r="O66"/>
      <c r="P66"/>
    </row>
    <row r="67" spans="1:16" x14ac:dyDescent="0.35">
      <c r="B67" s="20"/>
      <c r="C67" s="20"/>
      <c r="D67" s="2"/>
      <c r="E67"/>
      <c r="F67"/>
      <c r="G67"/>
      <c r="H67"/>
      <c r="I67" s="36"/>
      <c r="K67"/>
      <c r="L67"/>
      <c r="M67"/>
      <c r="N67"/>
      <c r="O67"/>
      <c r="P67"/>
    </row>
    <row r="68" spans="1:16" x14ac:dyDescent="0.35">
      <c r="B68" s="20"/>
      <c r="C68" s="20"/>
      <c r="D68" s="2"/>
      <c r="E68"/>
      <c r="F68"/>
      <c r="G68"/>
      <c r="H68"/>
      <c r="I68" s="36"/>
      <c r="K68"/>
      <c r="L68"/>
      <c r="M68"/>
      <c r="N68"/>
      <c r="O68"/>
      <c r="P68"/>
    </row>
    <row r="69" spans="1:16" x14ac:dyDescent="0.35">
      <c r="B69" s="20"/>
      <c r="C69" s="20"/>
      <c r="D69" s="2"/>
      <c r="E69"/>
      <c r="F69"/>
      <c r="G69"/>
      <c r="H69"/>
      <c r="I69" s="36"/>
      <c r="K69"/>
      <c r="L69"/>
      <c r="M69"/>
      <c r="N69"/>
      <c r="O69"/>
      <c r="P69"/>
    </row>
    <row r="70" spans="1:16" x14ac:dyDescent="0.35">
      <c r="B70" s="20"/>
      <c r="C70" s="20"/>
      <c r="D70" s="2"/>
      <c r="E70"/>
      <c r="F70"/>
      <c r="G70"/>
      <c r="H70"/>
      <c r="I70" s="36"/>
      <c r="K70"/>
      <c r="L70"/>
      <c r="M70"/>
      <c r="N70"/>
      <c r="O70"/>
      <c r="P70"/>
    </row>
    <row r="71" spans="1:16" x14ac:dyDescent="0.35">
      <c r="B71" s="20"/>
      <c r="C71" s="20"/>
      <c r="D71" s="2"/>
      <c r="E71"/>
      <c r="F71"/>
      <c r="G71"/>
      <c r="H71"/>
      <c r="I71" s="36"/>
      <c r="K71"/>
      <c r="L71"/>
      <c r="M71"/>
      <c r="N71"/>
      <c r="O71"/>
      <c r="P71"/>
    </row>
    <row r="72" spans="1:16" x14ac:dyDescent="0.35">
      <c r="B72" s="20"/>
      <c r="C72" s="20"/>
      <c r="D72" s="2"/>
      <c r="E72"/>
      <c r="F72"/>
      <c r="G72"/>
      <c r="H72"/>
      <c r="I72" s="36"/>
      <c r="K72"/>
      <c r="L72"/>
      <c r="M72"/>
      <c r="N72"/>
      <c r="O72"/>
      <c r="P72"/>
    </row>
    <row r="73" spans="1:16" x14ac:dyDescent="0.35">
      <c r="A73" s="5" t="s">
        <v>289</v>
      </c>
      <c r="B73" s="20">
        <v>663578783</v>
      </c>
      <c r="C73" s="20"/>
      <c r="D73" s="2"/>
      <c r="E73"/>
      <c r="F73"/>
      <c r="G73"/>
      <c r="H73"/>
      <c r="I73" s="36"/>
      <c r="K73"/>
      <c r="L73"/>
      <c r="M73"/>
      <c r="N73"/>
      <c r="O73"/>
      <c r="P73"/>
    </row>
    <row r="74" spans="1:16" x14ac:dyDescent="0.35">
      <c r="A74" s="5" t="s">
        <v>290</v>
      </c>
      <c r="B74" s="20">
        <v>730845000</v>
      </c>
      <c r="C74" s="20"/>
      <c r="D74" s="2"/>
      <c r="E74"/>
      <c r="F74"/>
      <c r="G74"/>
      <c r="H74"/>
      <c r="I74" s="36"/>
      <c r="K74"/>
      <c r="L74"/>
      <c r="M74"/>
      <c r="N74"/>
      <c r="O74"/>
      <c r="P74"/>
    </row>
    <row r="75" spans="1:16" ht="21.75" thickBot="1" x14ac:dyDescent="0.4">
      <c r="A75" s="5" t="s">
        <v>291</v>
      </c>
      <c r="B75" s="306">
        <f>+B74-B73</f>
        <v>67266217</v>
      </c>
      <c r="C75" s="298"/>
      <c r="D75" s="2"/>
      <c r="E75"/>
      <c r="F75"/>
      <c r="G75"/>
      <c r="H75"/>
      <c r="I75" s="36"/>
      <c r="K75"/>
      <c r="L75"/>
      <c r="M75"/>
      <c r="N75"/>
      <c r="O75"/>
      <c r="P75"/>
    </row>
    <row r="76" spans="1:16" ht="21.75" thickTop="1" x14ac:dyDescent="0.35">
      <c r="B76" s="20"/>
      <c r="C76" s="20"/>
      <c r="D76" s="2"/>
      <c r="E76"/>
      <c r="F76"/>
      <c r="G76"/>
      <c r="H76"/>
      <c r="I76" s="36"/>
      <c r="K76"/>
      <c r="L76"/>
      <c r="M76"/>
      <c r="N76"/>
      <c r="O76"/>
      <c r="P76"/>
    </row>
  </sheetData>
  <printOptions horizontalCentered="1"/>
  <pageMargins left="0.23622047244094491" right="0.23622047244094491" top="0.74803149606299213" bottom="0.74803149606299213" header="0.31496062992125984" footer="0.31496062992125984"/>
  <pageSetup paperSize="10000" firstPageNumber="198" fitToHeight="0" orientation="portrait" r:id="rId1"/>
  <headerFooter scaleWithDoc="0">
    <oddFooter>&amp;C&amp;"Candara,Bold"&amp;10&amp;P&amp;"Candara,Regular" &amp;"Candara,Bold"&amp;K000000|&amp;"Candara,Regular"&amp;K00-047 P a g 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61"/>
  <sheetViews>
    <sheetView showWhiteSpace="0" view="pageBreakPreview" topLeftCell="A6" zoomScaleSheetLayoutView="100" workbookViewId="0">
      <pane xSplit="1" ySplit="3" topLeftCell="B345" activePane="bottomRight" state="frozen"/>
      <selection activeCell="G83" sqref="G83"/>
      <selection pane="topRight" activeCell="G83" sqref="G83"/>
      <selection pane="bottomLeft" activeCell="G83" sqref="G83"/>
      <selection pane="bottomRight" activeCell="G354" sqref="G354"/>
    </sheetView>
  </sheetViews>
  <sheetFormatPr defaultColWidth="7.5703125" defaultRowHeight="15" x14ac:dyDescent="0.25"/>
  <cols>
    <col min="1" max="1" width="37.7109375" style="41" customWidth="1"/>
    <col min="2" max="2" width="10.7109375" style="41" customWidth="1"/>
    <col min="3" max="6" width="15.5703125" style="41" customWidth="1"/>
    <col min="7" max="7" width="15.7109375" style="41" customWidth="1"/>
    <col min="8" max="8" width="18.140625" style="41" customWidth="1"/>
    <col min="9" max="9" width="14.7109375" style="41" bestFit="1" customWidth="1"/>
    <col min="10" max="10" width="16" style="41" bestFit="1" customWidth="1"/>
    <col min="11" max="11" width="15.28515625" style="41" bestFit="1" customWidth="1"/>
    <col min="12" max="12" width="16" style="41" bestFit="1" customWidth="1"/>
    <col min="13" max="16384" width="7.5703125" style="41"/>
  </cols>
  <sheetData>
    <row r="1" spans="1:10" ht="15" customHeight="1" x14ac:dyDescent="0.25">
      <c r="A1" s="1071" t="s">
        <v>231</v>
      </c>
      <c r="B1" s="1071"/>
      <c r="C1" s="1071"/>
      <c r="D1" s="1071"/>
      <c r="E1" s="1071"/>
      <c r="F1" s="1071"/>
      <c r="G1" s="1071"/>
    </row>
    <row r="2" spans="1:10" ht="18.75" customHeight="1" x14ac:dyDescent="0.3">
      <c r="A2" s="1072" t="s">
        <v>232</v>
      </c>
      <c r="B2" s="1072"/>
      <c r="C2" s="1072"/>
      <c r="D2" s="1072"/>
      <c r="E2" s="1072"/>
      <c r="F2" s="1072"/>
      <c r="G2" s="1072"/>
    </row>
    <row r="3" spans="1:10" ht="15.75" customHeight="1" x14ac:dyDescent="0.25">
      <c r="A3" s="1073" t="s">
        <v>233</v>
      </c>
      <c r="B3" s="1073"/>
      <c r="C3" s="1073"/>
      <c r="D3" s="1073"/>
      <c r="E3" s="1073"/>
      <c r="F3" s="1073"/>
      <c r="G3" s="1073"/>
    </row>
    <row r="4" spans="1:10" ht="15" customHeight="1" x14ac:dyDescent="0.25">
      <c r="A4" s="1074" t="s">
        <v>189</v>
      </c>
      <c r="B4" s="1075"/>
      <c r="C4" s="1075"/>
      <c r="D4" s="1075"/>
      <c r="E4" s="1075"/>
      <c r="F4" s="1075"/>
      <c r="G4" s="1075"/>
    </row>
    <row r="5" spans="1:10" x14ac:dyDescent="0.25">
      <c r="A5" s="42"/>
      <c r="B5" s="42"/>
      <c r="C5" s="42"/>
      <c r="D5" s="42"/>
      <c r="E5" s="42"/>
      <c r="F5" s="42"/>
      <c r="G5" s="42"/>
    </row>
    <row r="6" spans="1:10" s="43" customFormat="1" ht="12" x14ac:dyDescent="0.2">
      <c r="A6" s="1076" t="s">
        <v>1</v>
      </c>
      <c r="B6" s="1076" t="s">
        <v>2</v>
      </c>
      <c r="C6" s="1076" t="s">
        <v>310</v>
      </c>
      <c r="D6" s="1077" t="s">
        <v>307</v>
      </c>
      <c r="E6" s="1077"/>
      <c r="F6" s="1077"/>
      <c r="G6" s="1076" t="s">
        <v>311</v>
      </c>
    </row>
    <row r="7" spans="1:10" s="43" customFormat="1" ht="12" x14ac:dyDescent="0.2">
      <c r="A7" s="1076"/>
      <c r="B7" s="1076"/>
      <c r="C7" s="1076"/>
      <c r="D7" s="1077"/>
      <c r="E7" s="1077"/>
      <c r="F7" s="1077"/>
      <c r="G7" s="1076"/>
    </row>
    <row r="8" spans="1:10" s="43" customFormat="1" ht="24" x14ac:dyDescent="0.2">
      <c r="A8" s="1076"/>
      <c r="B8" s="1076"/>
      <c r="C8" s="1076"/>
      <c r="D8" s="95" t="s">
        <v>308</v>
      </c>
      <c r="E8" s="95" t="s">
        <v>309</v>
      </c>
      <c r="F8" s="95" t="s">
        <v>3</v>
      </c>
      <c r="G8" s="1076"/>
    </row>
    <row r="9" spans="1:10" s="70" customFormat="1" ht="11.25" x14ac:dyDescent="0.25">
      <c r="A9" s="96">
        <v>1</v>
      </c>
      <c r="B9" s="96">
        <v>2</v>
      </c>
      <c r="C9" s="96">
        <v>3</v>
      </c>
      <c r="D9" s="96">
        <v>4</v>
      </c>
      <c r="E9" s="96">
        <v>5</v>
      </c>
      <c r="F9" s="96">
        <v>6</v>
      </c>
      <c r="G9" s="96">
        <v>7</v>
      </c>
      <c r="H9" s="211"/>
    </row>
    <row r="10" spans="1:10" s="43" customFormat="1" x14ac:dyDescent="0.25">
      <c r="A10" s="136" t="s">
        <v>394</v>
      </c>
      <c r="B10" s="137"/>
      <c r="C10" s="137"/>
      <c r="D10" s="137"/>
      <c r="E10" s="137"/>
      <c r="F10" s="137"/>
      <c r="G10" s="137"/>
    </row>
    <row r="11" spans="1:10" ht="15" customHeight="1" x14ac:dyDescent="0.25">
      <c r="A11" s="131" t="s">
        <v>297</v>
      </c>
      <c r="B11" s="132"/>
      <c r="C11" s="133"/>
      <c r="D11" s="134"/>
      <c r="E11" s="133"/>
      <c r="F11" s="134"/>
      <c r="G11" s="135"/>
    </row>
    <row r="12" spans="1:10" ht="15" customHeight="1" x14ac:dyDescent="0.25">
      <c r="A12" s="106" t="s">
        <v>298</v>
      </c>
      <c r="B12" s="119"/>
      <c r="C12" s="78"/>
      <c r="D12" s="124"/>
      <c r="E12" s="78"/>
      <c r="F12" s="124"/>
      <c r="G12" s="212"/>
    </row>
    <row r="13" spans="1:10" ht="15" customHeight="1" x14ac:dyDescent="0.25">
      <c r="A13" s="108" t="s">
        <v>168</v>
      </c>
      <c r="B13" s="91" t="s">
        <v>167</v>
      </c>
      <c r="C13" s="79"/>
      <c r="D13" s="125">
        <v>632573</v>
      </c>
      <c r="E13" s="79">
        <f>+F13-D13</f>
        <v>13954558.810000001</v>
      </c>
      <c r="F13" s="125">
        <v>14587131.810000001</v>
      </c>
      <c r="G13" s="118">
        <v>18000000</v>
      </c>
      <c r="J13" s="46">
        <f t="shared" ref="J13:J18" si="0">SUM(D13:E13)</f>
        <v>14587131.810000001</v>
      </c>
    </row>
    <row r="14" spans="1:10" ht="15" customHeight="1" x14ac:dyDescent="0.25">
      <c r="A14" s="108" t="s">
        <v>354</v>
      </c>
      <c r="B14" s="120" t="s">
        <v>154</v>
      </c>
      <c r="C14" s="79"/>
      <c r="D14" s="125">
        <v>1508060</v>
      </c>
      <c r="E14" s="79">
        <f t="shared" ref="E14:E21" si="1">+F14-D14</f>
        <v>2491940</v>
      </c>
      <c r="F14" s="125">
        <v>4000000</v>
      </c>
      <c r="G14" s="118">
        <v>6000000</v>
      </c>
      <c r="J14" s="46">
        <f t="shared" si="0"/>
        <v>4000000</v>
      </c>
    </row>
    <row r="15" spans="1:10" ht="15" customHeight="1" x14ac:dyDescent="0.25">
      <c r="A15" s="108" t="s">
        <v>80</v>
      </c>
      <c r="B15" s="91" t="s">
        <v>81</v>
      </c>
      <c r="C15" s="79"/>
      <c r="D15" s="125">
        <v>2951080</v>
      </c>
      <c r="E15" s="79">
        <f t="shared" si="1"/>
        <v>4376854.0819997787</v>
      </c>
      <c r="F15" s="125">
        <v>7327934.0819997787</v>
      </c>
      <c r="G15" s="118">
        <v>7000000</v>
      </c>
      <c r="H15" s="68">
        <v>4372065.9180002213</v>
      </c>
      <c r="J15" s="46">
        <f t="shared" si="0"/>
        <v>7327934.0819997787</v>
      </c>
    </row>
    <row r="16" spans="1:10" ht="15" customHeight="1" x14ac:dyDescent="0.25">
      <c r="A16" s="108" t="s">
        <v>355</v>
      </c>
      <c r="B16" s="91" t="s">
        <v>46</v>
      </c>
      <c r="C16" s="79"/>
      <c r="D16" s="125">
        <v>0</v>
      </c>
      <c r="E16" s="79">
        <f t="shared" si="1"/>
        <v>200000</v>
      </c>
      <c r="F16" s="125">
        <v>200000</v>
      </c>
      <c r="G16" s="118">
        <v>400000</v>
      </c>
      <c r="J16" s="46">
        <f t="shared" si="0"/>
        <v>200000</v>
      </c>
    </row>
    <row r="17" spans="1:10" ht="15" customHeight="1" x14ac:dyDescent="0.25">
      <c r="A17" s="108" t="s">
        <v>48</v>
      </c>
      <c r="B17" s="91" t="s">
        <v>49</v>
      </c>
      <c r="C17" s="79"/>
      <c r="D17" s="125">
        <v>45000</v>
      </c>
      <c r="E17" s="79">
        <f t="shared" si="1"/>
        <v>255000</v>
      </c>
      <c r="F17" s="125">
        <v>300000</v>
      </c>
      <c r="G17" s="118">
        <v>500000</v>
      </c>
      <c r="J17" s="46">
        <f t="shared" si="0"/>
        <v>300000</v>
      </c>
    </row>
    <row r="18" spans="1:10" ht="15" customHeight="1" x14ac:dyDescent="0.25">
      <c r="A18" s="108" t="s">
        <v>139</v>
      </c>
      <c r="B18" s="91" t="s">
        <v>138</v>
      </c>
      <c r="C18" s="79"/>
      <c r="D18" s="125"/>
      <c r="E18" s="79">
        <f t="shared" si="1"/>
        <v>0</v>
      </c>
      <c r="F18" s="125"/>
      <c r="G18" s="118"/>
      <c r="J18" s="46">
        <f t="shared" si="0"/>
        <v>0</v>
      </c>
    </row>
    <row r="19" spans="1:10" ht="15" customHeight="1" x14ac:dyDescent="0.25">
      <c r="A19" s="110" t="s">
        <v>531</v>
      </c>
      <c r="B19" s="91"/>
      <c r="C19" s="79"/>
      <c r="D19" s="125">
        <v>41850</v>
      </c>
      <c r="E19" s="79">
        <f t="shared" si="1"/>
        <v>258150</v>
      </c>
      <c r="F19" s="125">
        <v>300000</v>
      </c>
      <c r="G19" s="118">
        <v>150000</v>
      </c>
      <c r="J19" s="46"/>
    </row>
    <row r="20" spans="1:10" ht="15" customHeight="1" x14ac:dyDescent="0.25">
      <c r="A20" s="108" t="s">
        <v>41</v>
      </c>
      <c r="B20" s="91" t="s">
        <v>154</v>
      </c>
      <c r="C20" s="79"/>
      <c r="D20" s="125">
        <v>353718</v>
      </c>
      <c r="E20" s="79">
        <f t="shared" si="1"/>
        <v>4646282</v>
      </c>
      <c r="F20" s="125">
        <v>5000000</v>
      </c>
      <c r="G20" s="118">
        <v>5000000</v>
      </c>
      <c r="J20" s="46">
        <f>SUM(D20:E20)</f>
        <v>5000000</v>
      </c>
    </row>
    <row r="21" spans="1:10" ht="15" customHeight="1" x14ac:dyDescent="0.25">
      <c r="A21" s="108" t="s">
        <v>53</v>
      </c>
      <c r="B21" s="91" t="s">
        <v>54</v>
      </c>
      <c r="C21" s="79"/>
      <c r="D21" s="125">
        <v>632720.82999999996</v>
      </c>
      <c r="E21" s="79">
        <f t="shared" si="1"/>
        <v>6567279.1699999999</v>
      </c>
      <c r="F21" s="125">
        <v>7200000</v>
      </c>
      <c r="G21" s="118">
        <v>7000000</v>
      </c>
      <c r="J21" s="46">
        <f>SUM(D21:E21)</f>
        <v>7200000</v>
      </c>
    </row>
    <row r="22" spans="1:10" ht="30" customHeight="1" x14ac:dyDescent="0.25">
      <c r="A22" s="108" t="s">
        <v>336</v>
      </c>
      <c r="B22" s="91" t="s">
        <v>156</v>
      </c>
      <c r="C22" s="79"/>
      <c r="D22" s="125"/>
      <c r="E22" s="79"/>
      <c r="F22" s="125"/>
      <c r="G22" s="118">
        <v>4500000</v>
      </c>
      <c r="J22" s="46"/>
    </row>
    <row r="23" spans="1:10" ht="30" customHeight="1" x14ac:dyDescent="0.25">
      <c r="A23" s="108" t="s">
        <v>118</v>
      </c>
      <c r="B23" s="91" t="s">
        <v>117</v>
      </c>
      <c r="C23" s="79"/>
      <c r="D23" s="125"/>
      <c r="E23" s="79">
        <f>+F23-D23</f>
        <v>250000</v>
      </c>
      <c r="F23" s="125">
        <v>250000</v>
      </c>
      <c r="G23" s="118">
        <v>350000</v>
      </c>
      <c r="J23" s="46">
        <f>SUM(D23:E23)</f>
        <v>250000</v>
      </c>
    </row>
    <row r="24" spans="1:10" ht="30" customHeight="1" x14ac:dyDescent="0.25">
      <c r="A24" s="138" t="s">
        <v>42</v>
      </c>
      <c r="B24" s="97" t="s">
        <v>176</v>
      </c>
      <c r="C24" s="139"/>
      <c r="D24" s="140">
        <v>29058</v>
      </c>
      <c r="E24" s="79">
        <f>+F24-D24</f>
        <v>470942</v>
      </c>
      <c r="F24" s="140">
        <v>500000</v>
      </c>
      <c r="G24" s="213">
        <v>500000</v>
      </c>
      <c r="J24" s="46">
        <f>SUM(D24:E24)</f>
        <v>500000</v>
      </c>
    </row>
    <row r="25" spans="1:10" ht="30" customHeight="1" x14ac:dyDescent="0.25">
      <c r="A25" s="147" t="s">
        <v>356</v>
      </c>
      <c r="B25" s="148"/>
      <c r="C25" s="101">
        <f>SUM(C13:C24)</f>
        <v>0</v>
      </c>
      <c r="D25" s="101">
        <f>SUM(D13:D24)</f>
        <v>6194059.8300000001</v>
      </c>
      <c r="E25" s="101">
        <f>SUM(E13:E24)</f>
        <v>33471006.061999783</v>
      </c>
      <c r="F25" s="101">
        <f>SUM(F13:F24)</f>
        <v>39665065.891999781</v>
      </c>
      <c r="G25" s="101">
        <f>SUM(G13:G24)</f>
        <v>49400000</v>
      </c>
      <c r="J25" s="46"/>
    </row>
    <row r="26" spans="1:10" x14ac:dyDescent="0.25">
      <c r="A26" s="142" t="s">
        <v>88</v>
      </c>
      <c r="B26" s="143"/>
      <c r="C26" s="144"/>
      <c r="D26" s="145"/>
      <c r="E26" s="144"/>
      <c r="F26" s="145"/>
      <c r="G26" s="236"/>
      <c r="J26" s="46"/>
    </row>
    <row r="27" spans="1:10" s="45" customFormat="1" ht="15" customHeight="1" x14ac:dyDescent="0.25">
      <c r="A27" s="234" t="s">
        <v>105</v>
      </c>
      <c r="B27" s="91" t="s">
        <v>91</v>
      </c>
      <c r="C27" s="88"/>
      <c r="D27" s="88"/>
      <c r="E27" s="88"/>
      <c r="F27" s="88"/>
      <c r="G27" s="237"/>
      <c r="J27" s="84"/>
    </row>
    <row r="28" spans="1:10" s="45" customFormat="1" ht="30" customHeight="1" x14ac:dyDescent="0.25">
      <c r="A28" s="202" t="s">
        <v>539</v>
      </c>
      <c r="B28" s="91"/>
      <c r="C28" s="235"/>
      <c r="D28" s="88"/>
      <c r="E28" s="235"/>
      <c r="F28" s="88"/>
      <c r="G28" s="238">
        <v>4500000</v>
      </c>
      <c r="J28" s="84"/>
    </row>
    <row r="29" spans="1:10" ht="15" customHeight="1" x14ac:dyDescent="0.25">
      <c r="A29" s="108" t="s">
        <v>344</v>
      </c>
      <c r="B29" s="91" t="s">
        <v>299</v>
      </c>
      <c r="C29" s="79"/>
      <c r="D29" s="125"/>
      <c r="E29" s="79"/>
      <c r="F29" s="125"/>
      <c r="G29" s="118"/>
      <c r="H29" s="54">
        <v>2000</v>
      </c>
      <c r="I29" s="54"/>
      <c r="J29" s="46">
        <f>SUM(D29:E29)</f>
        <v>0</v>
      </c>
    </row>
    <row r="30" spans="1:10" ht="30" customHeight="1" x14ac:dyDescent="0.25">
      <c r="A30" s="110" t="s">
        <v>357</v>
      </c>
      <c r="B30" s="91"/>
      <c r="C30" s="79"/>
      <c r="D30" s="125"/>
      <c r="E30" s="79"/>
      <c r="F30" s="125"/>
      <c r="G30" s="118"/>
      <c r="H30" s="54"/>
      <c r="I30" s="54"/>
      <c r="J30" s="46"/>
    </row>
    <row r="31" spans="1:10" ht="30" customHeight="1" x14ac:dyDescent="0.25">
      <c r="A31" s="111" t="s">
        <v>97</v>
      </c>
      <c r="B31" s="91" t="s">
        <v>98</v>
      </c>
      <c r="C31" s="79"/>
      <c r="D31" s="125"/>
      <c r="E31" s="79"/>
      <c r="F31" s="125"/>
      <c r="G31" s="118"/>
      <c r="H31" s="54"/>
      <c r="I31" s="54"/>
      <c r="J31" s="46"/>
    </row>
    <row r="32" spans="1:10" ht="15" customHeight="1" x14ac:dyDescent="0.25">
      <c r="A32" s="110" t="s">
        <v>535</v>
      </c>
      <c r="B32" s="91"/>
      <c r="C32" s="79"/>
      <c r="D32" s="125"/>
      <c r="E32" s="79"/>
      <c r="F32" s="125"/>
      <c r="G32" s="118">
        <v>440000</v>
      </c>
      <c r="H32" s="54"/>
      <c r="I32" s="54"/>
      <c r="J32" s="46"/>
    </row>
    <row r="33" spans="1:10" ht="15" customHeight="1" x14ac:dyDescent="0.25">
      <c r="A33" s="110" t="s">
        <v>536</v>
      </c>
      <c r="B33" s="91"/>
      <c r="C33" s="79"/>
      <c r="D33" s="125"/>
      <c r="E33" s="79"/>
      <c r="F33" s="125"/>
      <c r="G33" s="118">
        <v>195000</v>
      </c>
      <c r="H33" s="54"/>
      <c r="I33" s="54"/>
      <c r="J33" s="46"/>
    </row>
    <row r="34" spans="1:10" ht="15" customHeight="1" x14ac:dyDescent="0.25">
      <c r="A34" s="108" t="s">
        <v>301</v>
      </c>
      <c r="B34" s="91" t="s">
        <v>296</v>
      </c>
      <c r="C34" s="79"/>
      <c r="D34" s="125"/>
      <c r="E34" s="79"/>
      <c r="F34" s="125"/>
      <c r="G34" s="118"/>
      <c r="H34" s="54"/>
      <c r="I34" s="54"/>
      <c r="J34" s="46"/>
    </row>
    <row r="35" spans="1:10" ht="30" customHeight="1" x14ac:dyDescent="0.25">
      <c r="A35" s="110" t="s">
        <v>537</v>
      </c>
      <c r="B35" s="91"/>
      <c r="C35" s="79"/>
      <c r="D35" s="125"/>
      <c r="E35" s="79"/>
      <c r="F35" s="125"/>
      <c r="G35" s="118">
        <v>900000</v>
      </c>
      <c r="H35" s="54"/>
      <c r="I35" s="54"/>
      <c r="J35" s="46"/>
    </row>
    <row r="36" spans="1:10" ht="30" customHeight="1" x14ac:dyDescent="0.25">
      <c r="A36" s="110" t="s">
        <v>538</v>
      </c>
      <c r="B36" s="91"/>
      <c r="C36" s="79"/>
      <c r="D36" s="125"/>
      <c r="E36" s="79"/>
      <c r="F36" s="125"/>
      <c r="G36" s="118">
        <v>36000</v>
      </c>
      <c r="H36" s="54"/>
      <c r="I36" s="54"/>
      <c r="J36" s="46"/>
    </row>
    <row r="37" spans="1:10" ht="15" customHeight="1" x14ac:dyDescent="0.25">
      <c r="A37" s="110" t="s">
        <v>540</v>
      </c>
      <c r="B37" s="91"/>
      <c r="C37" s="79"/>
      <c r="D37" s="125"/>
      <c r="E37" s="79"/>
      <c r="F37" s="125"/>
      <c r="G37" s="118">
        <v>280000</v>
      </c>
      <c r="H37" s="54"/>
      <c r="I37" s="54"/>
      <c r="J37" s="46"/>
    </row>
    <row r="38" spans="1:10" ht="15" customHeight="1" x14ac:dyDescent="0.25">
      <c r="A38" s="110" t="s">
        <v>541</v>
      </c>
      <c r="B38" s="91"/>
      <c r="C38" s="79"/>
      <c r="D38" s="125"/>
      <c r="E38" s="79"/>
      <c r="F38" s="125"/>
      <c r="G38" s="118">
        <v>600000</v>
      </c>
      <c r="H38" s="54"/>
      <c r="I38" s="54"/>
      <c r="J38" s="46"/>
    </row>
    <row r="39" spans="1:10" ht="15" customHeight="1" x14ac:dyDescent="0.25">
      <c r="A39" s="110" t="s">
        <v>542</v>
      </c>
      <c r="B39" s="91"/>
      <c r="C39" s="79"/>
      <c r="D39" s="125"/>
      <c r="E39" s="79"/>
      <c r="F39" s="125"/>
      <c r="G39" s="118">
        <v>200000</v>
      </c>
      <c r="H39" s="54"/>
      <c r="I39" s="54"/>
      <c r="J39" s="46"/>
    </row>
    <row r="40" spans="1:10" x14ac:dyDescent="0.25">
      <c r="A40" s="108" t="s">
        <v>102</v>
      </c>
      <c r="B40" s="91" t="s">
        <v>103</v>
      </c>
      <c r="C40" s="79"/>
      <c r="D40" s="125">
        <v>0</v>
      </c>
      <c r="E40" s="79">
        <f>+F40-D40</f>
        <v>2550000</v>
      </c>
      <c r="F40" s="125">
        <v>2550000</v>
      </c>
      <c r="G40" s="118"/>
      <c r="H40" s="54"/>
      <c r="I40" s="54"/>
      <c r="J40" s="46"/>
    </row>
    <row r="41" spans="1:10" ht="30" customHeight="1" x14ac:dyDescent="0.25">
      <c r="A41" s="110" t="s">
        <v>411</v>
      </c>
      <c r="B41" s="91"/>
      <c r="C41" s="79"/>
      <c r="D41" s="125"/>
      <c r="E41" s="79"/>
      <c r="F41" s="125"/>
      <c r="G41" s="118"/>
      <c r="H41" s="54"/>
      <c r="I41" s="54"/>
      <c r="J41" s="46"/>
    </row>
    <row r="42" spans="1:10" ht="30" customHeight="1" x14ac:dyDescent="0.25">
      <c r="A42" s="110" t="s">
        <v>449</v>
      </c>
      <c r="B42" s="91"/>
      <c r="C42" s="79"/>
      <c r="D42" s="125"/>
      <c r="E42" s="79"/>
      <c r="F42" s="125"/>
      <c r="G42" s="118"/>
      <c r="H42" s="54"/>
      <c r="I42" s="54"/>
      <c r="J42" s="46"/>
    </row>
    <row r="43" spans="1:10" ht="15" customHeight="1" x14ac:dyDescent="0.25">
      <c r="A43" s="202" t="s">
        <v>532</v>
      </c>
      <c r="B43" s="91"/>
      <c r="C43" s="203"/>
      <c r="D43" s="125">
        <v>0</v>
      </c>
      <c r="E43" s="203"/>
      <c r="F43" s="125"/>
      <c r="G43" s="239">
        <v>2550000</v>
      </c>
      <c r="H43" s="54"/>
      <c r="I43" s="54"/>
      <c r="J43" s="46"/>
    </row>
    <row r="44" spans="1:10" ht="15" customHeight="1" x14ac:dyDescent="0.25">
      <c r="A44" s="202" t="s">
        <v>533</v>
      </c>
      <c r="B44" s="91"/>
      <c r="C44" s="203"/>
      <c r="D44" s="125"/>
      <c r="E44" s="203"/>
      <c r="F44" s="125"/>
      <c r="G44" s="239">
        <v>850000</v>
      </c>
      <c r="H44" s="54"/>
      <c r="I44" s="54"/>
      <c r="J44" s="46"/>
    </row>
    <row r="45" spans="1:10" ht="15" customHeight="1" x14ac:dyDescent="0.25">
      <c r="A45" s="201" t="s">
        <v>534</v>
      </c>
      <c r="B45" s="198"/>
      <c r="C45" s="58"/>
      <c r="D45" s="199"/>
      <c r="E45" s="58"/>
      <c r="F45" s="199"/>
      <c r="G45" s="240">
        <v>825000</v>
      </c>
      <c r="H45" s="54"/>
      <c r="I45" s="54"/>
      <c r="J45" s="46"/>
    </row>
    <row r="46" spans="1:10" ht="15" customHeight="1" x14ac:dyDescent="0.25">
      <c r="A46" s="147" t="s">
        <v>112</v>
      </c>
      <c r="B46" s="148"/>
      <c r="C46" s="101">
        <f>SUM(C26:C45)</f>
        <v>0</v>
      </c>
      <c r="D46" s="101">
        <f>SUM(D26:D45)</f>
        <v>0</v>
      </c>
      <c r="E46" s="101">
        <f>SUM(E26:E45)</f>
        <v>2550000</v>
      </c>
      <c r="F46" s="101">
        <f>SUM(F26:F45)</f>
        <v>2550000</v>
      </c>
      <c r="G46" s="101">
        <f>SUM(G26:G45)</f>
        <v>11376000</v>
      </c>
      <c r="J46" s="46"/>
    </row>
    <row r="47" spans="1:10" ht="15" customHeight="1" x14ac:dyDescent="0.25">
      <c r="A47" s="151" t="s">
        <v>113</v>
      </c>
      <c r="B47" s="152"/>
      <c r="C47" s="153">
        <f>C25+C46</f>
        <v>0</v>
      </c>
      <c r="D47" s="153">
        <f>D25+D46</f>
        <v>6194059.8300000001</v>
      </c>
      <c r="E47" s="153">
        <f>E25+E46</f>
        <v>36021006.061999783</v>
      </c>
      <c r="F47" s="153">
        <f>F25+F46</f>
        <v>42215065.891999781</v>
      </c>
      <c r="G47" s="153">
        <f>G25+G46</f>
        <v>60776000</v>
      </c>
      <c r="H47" s="281"/>
      <c r="J47" s="46"/>
    </row>
    <row r="48" spans="1:10" ht="15" customHeight="1" x14ac:dyDescent="0.25">
      <c r="A48" s="131" t="s">
        <v>300</v>
      </c>
      <c r="B48" s="150"/>
      <c r="C48" s="133"/>
      <c r="D48" s="134"/>
      <c r="E48" s="133"/>
      <c r="F48" s="134"/>
      <c r="G48" s="135"/>
    </row>
    <row r="49" spans="1:10" ht="15" customHeight="1" x14ac:dyDescent="0.25">
      <c r="A49" s="106" t="s">
        <v>298</v>
      </c>
      <c r="B49" s="119"/>
      <c r="C49" s="78"/>
      <c r="D49" s="124"/>
      <c r="E49" s="78"/>
      <c r="F49" s="124"/>
      <c r="G49" s="107"/>
    </row>
    <row r="50" spans="1:10" ht="15" customHeight="1" x14ac:dyDescent="0.25">
      <c r="A50" s="108" t="s">
        <v>139</v>
      </c>
      <c r="B50" s="91" t="s">
        <v>138</v>
      </c>
      <c r="C50" s="79"/>
      <c r="D50" s="125"/>
      <c r="E50" s="79"/>
      <c r="F50" s="125"/>
      <c r="G50" s="109"/>
      <c r="J50" s="46">
        <f>SUM(D50:E50)</f>
        <v>0</v>
      </c>
    </row>
    <row r="51" spans="1:10" ht="15" customHeight="1" x14ac:dyDescent="0.25">
      <c r="A51" s="108" t="s">
        <v>567</v>
      </c>
      <c r="B51" s="91"/>
      <c r="C51" s="79"/>
      <c r="D51" s="125">
        <v>3204561</v>
      </c>
      <c r="E51" s="79">
        <f t="shared" ref="E51:E56" si="2">+F51-D51</f>
        <v>245439</v>
      </c>
      <c r="F51" s="125">
        <v>3450000</v>
      </c>
      <c r="G51" s="109"/>
      <c r="J51" s="46"/>
    </row>
    <row r="52" spans="1:10" ht="30" customHeight="1" x14ac:dyDescent="0.25">
      <c r="A52" s="110" t="s">
        <v>424</v>
      </c>
      <c r="B52" s="91"/>
      <c r="C52" s="79"/>
      <c r="D52" s="125">
        <v>0</v>
      </c>
      <c r="E52" s="79">
        <f t="shared" si="2"/>
        <v>11760000</v>
      </c>
      <c r="F52" s="125">
        <v>11760000</v>
      </c>
      <c r="G52" s="109"/>
      <c r="H52" s="54"/>
      <c r="I52" s="54"/>
      <c r="J52" s="46"/>
    </row>
    <row r="53" spans="1:10" ht="15" customHeight="1" x14ac:dyDescent="0.25">
      <c r="A53" s="110" t="s">
        <v>358</v>
      </c>
      <c r="B53" s="91"/>
      <c r="C53" s="79"/>
      <c r="D53" s="125">
        <v>13908445</v>
      </c>
      <c r="E53" s="79">
        <f t="shared" si="2"/>
        <v>91555</v>
      </c>
      <c r="F53" s="125">
        <v>14000000</v>
      </c>
      <c r="G53" s="109"/>
      <c r="H53" s="54"/>
      <c r="I53" s="54"/>
      <c r="J53" s="46"/>
    </row>
    <row r="54" spans="1:10" ht="15" customHeight="1" x14ac:dyDescent="0.25">
      <c r="A54" s="110" t="s">
        <v>359</v>
      </c>
      <c r="B54" s="91"/>
      <c r="C54" s="79"/>
      <c r="D54" s="125">
        <v>5400</v>
      </c>
      <c r="E54" s="79">
        <f t="shared" si="2"/>
        <v>6714600</v>
      </c>
      <c r="F54" s="125">
        <v>6720000</v>
      </c>
      <c r="G54" s="109"/>
      <c r="H54" s="54"/>
      <c r="I54" s="54"/>
      <c r="J54" s="46"/>
    </row>
    <row r="55" spans="1:10" ht="30" customHeight="1" x14ac:dyDescent="0.25">
      <c r="A55" s="110" t="s">
        <v>425</v>
      </c>
      <c r="B55" s="91"/>
      <c r="C55" s="79"/>
      <c r="D55" s="125">
        <v>0</v>
      </c>
      <c r="E55" s="79">
        <f t="shared" si="2"/>
        <v>120000</v>
      </c>
      <c r="F55" s="125">
        <v>120000</v>
      </c>
      <c r="G55" s="109"/>
      <c r="H55" s="54"/>
      <c r="I55" s="54"/>
      <c r="J55" s="46"/>
    </row>
    <row r="56" spans="1:10" ht="15" customHeight="1" x14ac:dyDescent="0.25">
      <c r="A56" s="111" t="s">
        <v>80</v>
      </c>
      <c r="B56" s="91" t="s">
        <v>81</v>
      </c>
      <c r="C56" s="79"/>
      <c r="D56" s="125">
        <v>375430</v>
      </c>
      <c r="E56" s="79">
        <f t="shared" si="2"/>
        <v>2241470</v>
      </c>
      <c r="F56" s="125">
        <v>2616900</v>
      </c>
      <c r="G56" s="109"/>
      <c r="H56" s="54"/>
      <c r="I56" s="54"/>
      <c r="J56" s="46"/>
    </row>
    <row r="57" spans="1:10" ht="30" customHeight="1" x14ac:dyDescent="0.25">
      <c r="A57" s="110" t="s">
        <v>544</v>
      </c>
      <c r="B57" s="91"/>
      <c r="C57" s="79"/>
      <c r="D57" s="125"/>
      <c r="E57" s="79"/>
      <c r="F57" s="125"/>
      <c r="G57" s="109">
        <v>130000</v>
      </c>
      <c r="H57" s="54"/>
      <c r="I57" s="54"/>
      <c r="J57" s="46"/>
    </row>
    <row r="58" spans="1:10" ht="30" customHeight="1" x14ac:dyDescent="0.25">
      <c r="A58" s="110" t="s">
        <v>545</v>
      </c>
      <c r="B58" s="91"/>
      <c r="C58" s="79"/>
      <c r="D58" s="125"/>
      <c r="E58" s="79"/>
      <c r="F58" s="125"/>
      <c r="G58" s="109">
        <v>390000</v>
      </c>
      <c r="H58" s="54"/>
      <c r="I58" s="54"/>
      <c r="J58" s="46"/>
    </row>
    <row r="59" spans="1:10" ht="30" customHeight="1" x14ac:dyDescent="0.25">
      <c r="A59" s="110" t="s">
        <v>546</v>
      </c>
      <c r="B59" s="91"/>
      <c r="C59" s="79"/>
      <c r="D59" s="125"/>
      <c r="E59" s="79"/>
      <c r="F59" s="125"/>
      <c r="G59" s="109">
        <v>546000</v>
      </c>
      <c r="H59" s="54"/>
      <c r="I59" s="54"/>
      <c r="J59" s="46"/>
    </row>
    <row r="60" spans="1:10" ht="30" customHeight="1" x14ac:dyDescent="0.25">
      <c r="A60" s="110" t="s">
        <v>547</v>
      </c>
      <c r="B60" s="91"/>
      <c r="C60" s="79"/>
      <c r="D60" s="125"/>
      <c r="E60" s="79"/>
      <c r="F60" s="125"/>
      <c r="G60" s="109">
        <v>273000</v>
      </c>
      <c r="H60" s="54"/>
      <c r="I60" s="54"/>
      <c r="J60" s="46"/>
    </row>
    <row r="61" spans="1:10" ht="30" customHeight="1" x14ac:dyDescent="0.25">
      <c r="A61" s="110" t="s">
        <v>548</v>
      </c>
      <c r="B61" s="91"/>
      <c r="C61" s="79"/>
      <c r="D61" s="125"/>
      <c r="E61" s="79"/>
      <c r="F61" s="125"/>
      <c r="G61" s="109">
        <v>231000</v>
      </c>
      <c r="H61" s="54"/>
      <c r="I61" s="54"/>
      <c r="J61" s="46"/>
    </row>
    <row r="62" spans="1:10" ht="30" customHeight="1" x14ac:dyDescent="0.25">
      <c r="A62" s="110" t="s">
        <v>549</v>
      </c>
      <c r="B62" s="91"/>
      <c r="C62" s="79"/>
      <c r="D62" s="125"/>
      <c r="E62" s="79"/>
      <c r="F62" s="125"/>
      <c r="G62" s="109">
        <v>886600</v>
      </c>
      <c r="H62" s="54"/>
      <c r="I62" s="54"/>
      <c r="J62" s="46"/>
    </row>
    <row r="63" spans="1:10" ht="30" customHeight="1" x14ac:dyDescent="0.25">
      <c r="A63" s="110" t="s">
        <v>550</v>
      </c>
      <c r="B63" s="91"/>
      <c r="C63" s="79"/>
      <c r="D63" s="125"/>
      <c r="E63" s="79"/>
      <c r="F63" s="125"/>
      <c r="G63" s="109">
        <v>124800</v>
      </c>
      <c r="H63" s="54"/>
      <c r="I63" s="54"/>
      <c r="J63" s="46"/>
    </row>
    <row r="64" spans="1:10" ht="15" customHeight="1" x14ac:dyDescent="0.25">
      <c r="A64" s="110" t="s">
        <v>360</v>
      </c>
      <c r="B64" s="91"/>
      <c r="C64" s="79"/>
      <c r="D64" s="125"/>
      <c r="E64" s="79"/>
      <c r="F64" s="125"/>
      <c r="G64" s="109"/>
      <c r="H64" s="54"/>
      <c r="I64" s="54"/>
      <c r="J64" s="46"/>
    </row>
    <row r="65" spans="1:10" ht="15" customHeight="1" x14ac:dyDescent="0.25">
      <c r="A65" s="110" t="s">
        <v>426</v>
      </c>
      <c r="B65" s="91"/>
      <c r="C65" s="79"/>
      <c r="D65" s="125"/>
      <c r="E65" s="79"/>
      <c r="F65" s="125"/>
      <c r="G65" s="109"/>
      <c r="H65" s="54"/>
      <c r="I65" s="54"/>
      <c r="J65" s="46"/>
    </row>
    <row r="66" spans="1:10" ht="15" customHeight="1" x14ac:dyDescent="0.25">
      <c r="A66" s="110" t="s">
        <v>427</v>
      </c>
      <c r="B66" s="91"/>
      <c r="C66" s="79"/>
      <c r="D66" s="125"/>
      <c r="E66" s="79"/>
      <c r="F66" s="125"/>
      <c r="G66" s="109"/>
      <c r="H66" s="54"/>
      <c r="I66" s="54"/>
      <c r="J66" s="46"/>
    </row>
    <row r="67" spans="1:10" ht="15" customHeight="1" x14ac:dyDescent="0.25">
      <c r="A67" s="111" t="s">
        <v>363</v>
      </c>
      <c r="B67" s="91" t="s">
        <v>46</v>
      </c>
      <c r="C67" s="79"/>
      <c r="D67" s="125">
        <v>0</v>
      </c>
      <c r="E67" s="79">
        <f>+F67-D67</f>
        <v>5150000</v>
      </c>
      <c r="F67" s="125">
        <v>5150000</v>
      </c>
      <c r="G67" s="109">
        <v>10000000</v>
      </c>
      <c r="H67" s="54"/>
      <c r="I67" s="54"/>
      <c r="J67" s="46"/>
    </row>
    <row r="68" spans="1:10" ht="15" customHeight="1" x14ac:dyDescent="0.25">
      <c r="A68" s="111" t="s">
        <v>53</v>
      </c>
      <c r="B68" s="91" t="s">
        <v>54</v>
      </c>
      <c r="C68" s="79"/>
      <c r="D68" s="125">
        <v>43538.3</v>
      </c>
      <c r="E68" s="79">
        <f>+F68-D68</f>
        <v>1156461.7</v>
      </c>
      <c r="F68" s="125">
        <v>1200000</v>
      </c>
      <c r="G68" s="109">
        <v>1000000</v>
      </c>
      <c r="H68" s="54"/>
      <c r="I68" s="54"/>
      <c r="J68" s="46"/>
    </row>
    <row r="69" spans="1:10" ht="15" customHeight="1" x14ac:dyDescent="0.25">
      <c r="A69" s="111" t="s">
        <v>51</v>
      </c>
      <c r="B69" s="91" t="s">
        <v>52</v>
      </c>
      <c r="C69" s="79"/>
      <c r="D69" s="125"/>
      <c r="E69" s="79"/>
      <c r="F69" s="125"/>
      <c r="G69" s="109">
        <v>120000</v>
      </c>
      <c r="H69" s="54"/>
      <c r="I69" s="54"/>
      <c r="J69" s="46"/>
    </row>
    <row r="70" spans="1:10" ht="15" customHeight="1" x14ac:dyDescent="0.25">
      <c r="A70" s="111" t="s">
        <v>361</v>
      </c>
      <c r="B70" s="91" t="s">
        <v>138</v>
      </c>
      <c r="C70" s="79"/>
      <c r="D70" s="125"/>
      <c r="E70" s="79"/>
      <c r="F70" s="125"/>
      <c r="G70" s="109"/>
      <c r="H70" s="54"/>
      <c r="I70" s="54"/>
      <c r="J70" s="46"/>
    </row>
    <row r="71" spans="1:10" ht="15" customHeight="1" x14ac:dyDescent="0.25">
      <c r="A71" s="110" t="s">
        <v>347</v>
      </c>
      <c r="B71" s="91"/>
      <c r="C71" s="79"/>
      <c r="D71" s="125">
        <v>36000</v>
      </c>
      <c r="E71" s="79">
        <f>+F71-D71</f>
        <v>63200</v>
      </c>
      <c r="F71" s="125">
        <v>99200</v>
      </c>
      <c r="G71" s="109"/>
      <c r="H71" s="54"/>
      <c r="I71" s="54"/>
      <c r="J71" s="46"/>
    </row>
    <row r="72" spans="1:10" ht="30" customHeight="1" x14ac:dyDescent="0.25">
      <c r="A72" s="110" t="s">
        <v>551</v>
      </c>
      <c r="B72" s="91"/>
      <c r="C72" s="79"/>
      <c r="D72" s="125"/>
      <c r="E72" s="79"/>
      <c r="F72" s="125"/>
      <c r="G72" s="109">
        <v>7365550</v>
      </c>
      <c r="H72" s="54"/>
      <c r="I72" s="54"/>
      <c r="J72" s="46"/>
    </row>
    <row r="73" spans="1:10" ht="30" customHeight="1" x14ac:dyDescent="0.25">
      <c r="A73" s="110" t="s">
        <v>552</v>
      </c>
      <c r="B73" s="91"/>
      <c r="C73" s="79"/>
      <c r="D73" s="125"/>
      <c r="E73" s="79"/>
      <c r="F73" s="125"/>
      <c r="G73" s="109">
        <v>5100000</v>
      </c>
      <c r="H73" s="54"/>
      <c r="I73" s="54"/>
      <c r="J73" s="46"/>
    </row>
    <row r="74" spans="1:10" ht="30" customHeight="1" x14ac:dyDescent="0.25">
      <c r="A74" s="110" t="s">
        <v>553</v>
      </c>
      <c r="B74" s="91"/>
      <c r="C74" s="79"/>
      <c r="D74" s="125"/>
      <c r="E74" s="79"/>
      <c r="F74" s="125"/>
      <c r="G74" s="109">
        <v>3625000</v>
      </c>
      <c r="H74" s="54"/>
      <c r="I74" s="54"/>
      <c r="J74" s="46"/>
    </row>
    <row r="75" spans="1:10" ht="15" customHeight="1" x14ac:dyDescent="0.25">
      <c r="A75" s="110" t="s">
        <v>554</v>
      </c>
      <c r="B75" s="91"/>
      <c r="C75" s="79"/>
      <c r="D75" s="125"/>
      <c r="E75" s="79"/>
      <c r="F75" s="125"/>
      <c r="G75" s="109">
        <v>14000000</v>
      </c>
      <c r="H75" s="54"/>
      <c r="I75" s="54"/>
      <c r="J75" s="46"/>
    </row>
    <row r="76" spans="1:10" ht="15" customHeight="1" x14ac:dyDescent="0.25">
      <c r="A76" s="110" t="s">
        <v>359</v>
      </c>
      <c r="B76" s="91"/>
      <c r="C76" s="79"/>
      <c r="D76" s="125"/>
      <c r="E76" s="79"/>
      <c r="F76" s="125"/>
      <c r="G76" s="109">
        <v>8000000</v>
      </c>
      <c r="H76" s="54"/>
      <c r="I76" s="54"/>
      <c r="J76" s="46"/>
    </row>
    <row r="77" spans="1:10" ht="30" customHeight="1" x14ac:dyDescent="0.25">
      <c r="A77" s="110" t="s">
        <v>362</v>
      </c>
      <c r="B77" s="91"/>
      <c r="C77" s="79"/>
      <c r="D77" s="125">
        <v>0</v>
      </c>
      <c r="E77" s="79">
        <f>+F77-D77</f>
        <v>3130000</v>
      </c>
      <c r="F77" s="125">
        <v>3130000</v>
      </c>
      <c r="G77" s="109">
        <v>10320000</v>
      </c>
      <c r="H77" s="54"/>
      <c r="I77" s="54"/>
      <c r="J77" s="46"/>
    </row>
    <row r="78" spans="1:10" x14ac:dyDescent="0.25">
      <c r="A78" s="154" t="s">
        <v>77</v>
      </c>
      <c r="B78" s="97" t="s">
        <v>78</v>
      </c>
      <c r="C78" s="139"/>
      <c r="D78" s="140"/>
      <c r="E78" s="139">
        <f>+F78-D78</f>
        <v>3000000</v>
      </c>
      <c r="F78" s="140">
        <v>3000000</v>
      </c>
      <c r="G78" s="141">
        <v>6600000</v>
      </c>
      <c r="H78" s="54"/>
      <c r="I78" s="54"/>
      <c r="J78" s="46"/>
    </row>
    <row r="79" spans="1:10" ht="30" customHeight="1" x14ac:dyDescent="0.25">
      <c r="A79" s="111" t="s">
        <v>118</v>
      </c>
      <c r="B79" s="91" t="s">
        <v>117</v>
      </c>
      <c r="C79" s="79"/>
      <c r="D79" s="125">
        <v>0</v>
      </c>
      <c r="E79" s="79">
        <f>+F79-D79</f>
        <v>300000</v>
      </c>
      <c r="F79" s="125">
        <v>300000</v>
      </c>
      <c r="G79" s="109">
        <v>100000</v>
      </c>
      <c r="H79" s="54"/>
      <c r="I79" s="54"/>
      <c r="J79" s="46"/>
    </row>
    <row r="80" spans="1:10" ht="30" customHeight="1" x14ac:dyDescent="0.25">
      <c r="A80" s="111" t="s">
        <v>42</v>
      </c>
      <c r="B80" s="91" t="s">
        <v>176</v>
      </c>
      <c r="C80" s="79"/>
      <c r="D80" s="125">
        <v>49099.6</v>
      </c>
      <c r="E80" s="79">
        <f>+F80-D80</f>
        <v>14800.400000000001</v>
      </c>
      <c r="F80" s="125">
        <v>63900</v>
      </c>
      <c r="G80" s="109"/>
      <c r="H80" s="54"/>
      <c r="I80" s="54"/>
      <c r="J80" s="46"/>
    </row>
    <row r="81" spans="1:10" ht="30" customHeight="1" x14ac:dyDescent="0.25">
      <c r="A81" s="147" t="s">
        <v>356</v>
      </c>
      <c r="B81" s="148"/>
      <c r="C81" s="101">
        <f>SUM(C50:C80)</f>
        <v>0</v>
      </c>
      <c r="D81" s="101">
        <f>SUM(D51:D80)</f>
        <v>17622473.900000002</v>
      </c>
      <c r="E81" s="101">
        <f>SUM(E51:E80)</f>
        <v>33987526.100000001</v>
      </c>
      <c r="F81" s="101">
        <f>SUM(F51:F80)</f>
        <v>51610000</v>
      </c>
      <c r="G81" s="101">
        <f>SUM(G51:G80)</f>
        <v>68811950</v>
      </c>
      <c r="J81" s="46"/>
    </row>
    <row r="82" spans="1:10" ht="15" customHeight="1" x14ac:dyDescent="0.25">
      <c r="A82" s="142" t="s">
        <v>88</v>
      </c>
      <c r="B82" s="143"/>
      <c r="C82" s="144"/>
      <c r="D82" s="145"/>
      <c r="E82" s="144"/>
      <c r="F82" s="145"/>
      <c r="G82" s="146"/>
      <c r="J82" s="46"/>
    </row>
    <row r="83" spans="1:10" ht="15" customHeight="1" x14ac:dyDescent="0.25">
      <c r="A83" s="108" t="s">
        <v>301</v>
      </c>
      <c r="B83" s="91" t="s">
        <v>296</v>
      </c>
      <c r="C83" s="79"/>
      <c r="D83" s="125"/>
      <c r="E83" s="79"/>
      <c r="F83" s="125"/>
      <c r="G83" s="109"/>
      <c r="H83" s="54">
        <v>2000</v>
      </c>
      <c r="I83" s="54"/>
      <c r="J83" s="46">
        <f>SUM(D83:E83)</f>
        <v>0</v>
      </c>
    </row>
    <row r="84" spans="1:10" ht="15" customHeight="1" x14ac:dyDescent="0.25">
      <c r="A84" s="110" t="s">
        <v>364</v>
      </c>
      <c r="B84" s="91"/>
      <c r="C84" s="79"/>
      <c r="D84" s="125">
        <v>244000</v>
      </c>
      <c r="E84" s="79">
        <f>+F84-D84</f>
        <v>516000</v>
      </c>
      <c r="F84" s="125">
        <v>760000</v>
      </c>
      <c r="G84" s="109"/>
      <c r="H84" s="54"/>
      <c r="I84" s="54"/>
      <c r="J84" s="46"/>
    </row>
    <row r="85" spans="1:10" ht="15" customHeight="1" x14ac:dyDescent="0.25">
      <c r="A85" s="108" t="s">
        <v>102</v>
      </c>
      <c r="B85" s="91" t="s">
        <v>103</v>
      </c>
      <c r="C85" s="79"/>
      <c r="D85" s="125">
        <v>180000</v>
      </c>
      <c r="E85" s="79">
        <f>+F85-D85</f>
        <v>1050000</v>
      </c>
      <c r="F85" s="125">
        <v>1230000</v>
      </c>
      <c r="G85" s="109"/>
      <c r="H85" s="54"/>
      <c r="I85" s="54"/>
      <c r="J85" s="46"/>
    </row>
    <row r="86" spans="1:10" ht="15" customHeight="1" x14ac:dyDescent="0.25">
      <c r="A86" s="110" t="s">
        <v>365</v>
      </c>
      <c r="B86" s="91"/>
      <c r="C86" s="79"/>
      <c r="D86" s="125"/>
      <c r="E86" s="79"/>
      <c r="F86" s="125"/>
      <c r="G86" s="109"/>
      <c r="H86" s="54"/>
      <c r="I86" s="54"/>
      <c r="J86" s="46"/>
    </row>
    <row r="87" spans="1:10" ht="15" customHeight="1" x14ac:dyDescent="0.25">
      <c r="A87" s="110" t="s">
        <v>368</v>
      </c>
      <c r="B87" s="91"/>
      <c r="C87" s="79"/>
      <c r="D87" s="125"/>
      <c r="E87" s="79"/>
      <c r="F87" s="125"/>
      <c r="G87" s="109"/>
      <c r="H87" s="54"/>
      <c r="I87" s="54"/>
      <c r="J87" s="46"/>
    </row>
    <row r="88" spans="1:10" ht="30" customHeight="1" x14ac:dyDescent="0.25">
      <c r="A88" s="149" t="s">
        <v>366</v>
      </c>
      <c r="B88" s="97"/>
      <c r="C88" s="139"/>
      <c r="D88" s="140"/>
      <c r="E88" s="139"/>
      <c r="F88" s="140"/>
      <c r="G88" s="141"/>
      <c r="H88" s="54"/>
      <c r="I88" s="54"/>
      <c r="J88" s="46"/>
    </row>
    <row r="89" spans="1:10" ht="15" customHeight="1" x14ac:dyDescent="0.25">
      <c r="A89" s="147" t="s">
        <v>112</v>
      </c>
      <c r="B89" s="148"/>
      <c r="C89" s="101">
        <f>SUM(C82:C88)</f>
        <v>0</v>
      </c>
      <c r="D89" s="101">
        <f>SUM(D84:D88)</f>
        <v>424000</v>
      </c>
      <c r="E89" s="101">
        <f>SUM(E82:E88)</f>
        <v>1566000</v>
      </c>
      <c r="F89" s="101">
        <f>SUM(F84:F88)</f>
        <v>1990000</v>
      </c>
      <c r="G89" s="101">
        <f>SUM(G82:G88)</f>
        <v>0</v>
      </c>
      <c r="J89" s="46"/>
    </row>
    <row r="90" spans="1:10" ht="15" customHeight="1" x14ac:dyDescent="0.25">
      <c r="A90" s="151" t="s">
        <v>113</v>
      </c>
      <c r="B90" s="152"/>
      <c r="C90" s="153">
        <f>C81+C89</f>
        <v>0</v>
      </c>
      <c r="D90" s="153">
        <f>+D89+D81</f>
        <v>18046473.900000002</v>
      </c>
      <c r="E90" s="153">
        <f>E81+E89</f>
        <v>35553526.100000001</v>
      </c>
      <c r="F90" s="153">
        <f>+F89+F81</f>
        <v>53600000</v>
      </c>
      <c r="G90" s="153">
        <f>G81+G89</f>
        <v>68811950</v>
      </c>
      <c r="H90" s="281"/>
      <c r="J90" s="46"/>
    </row>
    <row r="91" spans="1:10" ht="15" customHeight="1" x14ac:dyDescent="0.25">
      <c r="A91" s="131" t="s">
        <v>515</v>
      </c>
      <c r="B91" s="150"/>
      <c r="C91" s="133"/>
      <c r="D91" s="134"/>
      <c r="E91" s="133"/>
      <c r="F91" s="134"/>
      <c r="G91" s="135"/>
      <c r="H91" s="74"/>
    </row>
    <row r="92" spans="1:10" ht="15" customHeight="1" x14ac:dyDescent="0.25">
      <c r="A92" s="106" t="s">
        <v>298</v>
      </c>
      <c r="B92" s="119"/>
      <c r="C92" s="78"/>
      <c r="D92" s="124"/>
      <c r="E92" s="78"/>
      <c r="F92" s="124"/>
      <c r="G92" s="107"/>
      <c r="H92" s="75"/>
    </row>
    <row r="93" spans="1:10" ht="15" customHeight="1" x14ac:dyDescent="0.25">
      <c r="A93" s="108" t="s">
        <v>48</v>
      </c>
      <c r="B93" s="91" t="s">
        <v>49</v>
      </c>
      <c r="C93" s="79"/>
      <c r="D93" s="125"/>
      <c r="E93" s="79"/>
      <c r="F93" s="125"/>
      <c r="G93" s="109">
        <v>500000</v>
      </c>
      <c r="H93" s="54">
        <v>2000</v>
      </c>
      <c r="I93" s="54"/>
      <c r="J93" s="46">
        <f>SUM(D93:E93)</f>
        <v>0</v>
      </c>
    </row>
    <row r="94" spans="1:10" ht="15" customHeight="1" x14ac:dyDescent="0.25">
      <c r="A94" s="108" t="s">
        <v>139</v>
      </c>
      <c r="B94" s="91" t="s">
        <v>138</v>
      </c>
      <c r="C94" s="79"/>
      <c r="D94" s="125">
        <v>122500</v>
      </c>
      <c r="E94" s="285">
        <f>+F94-D94</f>
        <v>77500</v>
      </c>
      <c r="F94" s="125">
        <v>200000</v>
      </c>
      <c r="G94" s="109">
        <v>200000</v>
      </c>
      <c r="H94" s="76"/>
      <c r="J94" s="46">
        <f t="shared" ref="J94:J101" si="3">SUM(D94:E94)</f>
        <v>200000</v>
      </c>
    </row>
    <row r="95" spans="1:10" ht="15" customHeight="1" x14ac:dyDescent="0.25">
      <c r="A95" s="108" t="s">
        <v>53</v>
      </c>
      <c r="B95" s="91" t="s">
        <v>54</v>
      </c>
      <c r="C95" s="79"/>
      <c r="D95" s="125">
        <v>447036.75</v>
      </c>
      <c r="E95" s="286">
        <f t="shared" ref="E95:E100" si="4">+F95-D95</f>
        <v>752963.25</v>
      </c>
      <c r="F95" s="125">
        <v>1200000</v>
      </c>
      <c r="G95" s="109">
        <v>1200000</v>
      </c>
      <c r="H95" s="76">
        <v>1200000</v>
      </c>
      <c r="J95" s="46">
        <f t="shared" si="3"/>
        <v>1200000</v>
      </c>
    </row>
    <row r="96" spans="1:10" ht="25.5" customHeight="1" x14ac:dyDescent="0.25">
      <c r="A96" s="108" t="s">
        <v>423</v>
      </c>
      <c r="B96" s="91" t="s">
        <v>302</v>
      </c>
      <c r="C96" s="79"/>
      <c r="D96" s="125">
        <v>1735690</v>
      </c>
      <c r="E96" s="286">
        <f t="shared" si="4"/>
        <v>364310</v>
      </c>
      <c r="F96" s="125">
        <v>2100000</v>
      </c>
      <c r="G96" s="109"/>
      <c r="H96" s="76">
        <v>1200000</v>
      </c>
      <c r="J96" s="46">
        <f t="shared" si="3"/>
        <v>2100000</v>
      </c>
    </row>
    <row r="97" spans="1:10" ht="15" customHeight="1" x14ac:dyDescent="0.25">
      <c r="A97" s="108" t="s">
        <v>80</v>
      </c>
      <c r="B97" s="91" t="s">
        <v>81</v>
      </c>
      <c r="C97" s="79"/>
      <c r="D97" s="125">
        <v>2627530</v>
      </c>
      <c r="E97" s="286">
        <f t="shared" si="4"/>
        <v>2420970</v>
      </c>
      <c r="F97" s="125">
        <v>5048500</v>
      </c>
      <c r="G97" s="109">
        <v>4620000</v>
      </c>
      <c r="H97" s="76">
        <v>4620000</v>
      </c>
      <c r="J97" s="46">
        <f t="shared" si="3"/>
        <v>5048500</v>
      </c>
    </row>
    <row r="98" spans="1:10" ht="30" customHeight="1" x14ac:dyDescent="0.25">
      <c r="A98" s="108" t="s">
        <v>118</v>
      </c>
      <c r="B98" s="91" t="s">
        <v>117</v>
      </c>
      <c r="C98" s="79"/>
      <c r="D98" s="125">
        <v>14196</v>
      </c>
      <c r="E98" s="286">
        <f t="shared" si="4"/>
        <v>285804</v>
      </c>
      <c r="F98" s="125">
        <v>300000</v>
      </c>
      <c r="G98" s="109">
        <v>300000</v>
      </c>
      <c r="H98" s="76">
        <v>300000</v>
      </c>
      <c r="J98" s="46">
        <f t="shared" si="3"/>
        <v>300000</v>
      </c>
    </row>
    <row r="99" spans="1:10" ht="30" customHeight="1" x14ac:dyDescent="0.25">
      <c r="A99" s="108" t="s">
        <v>42</v>
      </c>
      <c r="B99" s="91" t="s">
        <v>176</v>
      </c>
      <c r="C99" s="79"/>
      <c r="D99" s="125">
        <v>1024510.07</v>
      </c>
      <c r="E99" s="286">
        <f t="shared" si="4"/>
        <v>5735489.9299999997</v>
      </c>
      <c r="F99" s="125">
        <v>6760000</v>
      </c>
      <c r="G99" s="109">
        <v>360000</v>
      </c>
      <c r="H99" s="76">
        <v>360000</v>
      </c>
      <c r="J99" s="46">
        <f t="shared" si="3"/>
        <v>6760000</v>
      </c>
    </row>
    <row r="100" spans="1:10" ht="15" customHeight="1" x14ac:dyDescent="0.25">
      <c r="A100" s="110" t="s">
        <v>420</v>
      </c>
      <c r="B100" s="91"/>
      <c r="C100" s="79"/>
      <c r="D100" s="125">
        <v>4256285</v>
      </c>
      <c r="E100" s="286">
        <f t="shared" si="4"/>
        <v>3243715</v>
      </c>
      <c r="F100" s="125">
        <v>7500000</v>
      </c>
      <c r="G100" s="109"/>
      <c r="H100" s="76">
        <v>10000000</v>
      </c>
      <c r="J100" s="46">
        <f t="shared" si="3"/>
        <v>7500000</v>
      </c>
    </row>
    <row r="101" spans="1:10" ht="15" customHeight="1" x14ac:dyDescent="0.25">
      <c r="A101" s="227" t="s">
        <v>516</v>
      </c>
      <c r="B101" s="97"/>
      <c r="C101" s="139"/>
      <c r="D101" s="140"/>
      <c r="E101" s="285"/>
      <c r="F101" s="140"/>
      <c r="G101" s="141"/>
      <c r="H101" s="76">
        <v>9000000</v>
      </c>
      <c r="J101" s="46">
        <f t="shared" si="3"/>
        <v>0</v>
      </c>
    </row>
    <row r="102" spans="1:10" s="220" customFormat="1" ht="15" customHeight="1" x14ac:dyDescent="0.25">
      <c r="A102" s="214" t="s">
        <v>517</v>
      </c>
      <c r="B102" s="215"/>
      <c r="C102" s="216"/>
      <c r="D102" s="217"/>
      <c r="E102" s="216"/>
      <c r="F102" s="217"/>
      <c r="G102" s="218">
        <v>4500000</v>
      </c>
      <c r="H102" s="219"/>
    </row>
    <row r="103" spans="1:10" s="220" customFormat="1" ht="15" customHeight="1" x14ac:dyDescent="0.25">
      <c r="A103" s="228" t="s">
        <v>518</v>
      </c>
      <c r="B103" s="229"/>
      <c r="C103" s="230"/>
      <c r="D103" s="231"/>
      <c r="E103" s="230"/>
      <c r="F103" s="231"/>
      <c r="G103" s="232">
        <v>4025000</v>
      </c>
      <c r="H103" s="219"/>
    </row>
    <row r="104" spans="1:10" s="220" customFormat="1" ht="15" customHeight="1" x14ac:dyDescent="0.25">
      <c r="A104" s="228" t="s">
        <v>519</v>
      </c>
      <c r="B104" s="229"/>
      <c r="C104" s="230"/>
      <c r="D104" s="231"/>
      <c r="E104" s="230"/>
      <c r="F104" s="231"/>
      <c r="G104" s="232">
        <v>900000</v>
      </c>
      <c r="H104" s="219"/>
    </row>
    <row r="105" spans="1:10" s="220" customFormat="1" ht="15" customHeight="1" x14ac:dyDescent="0.25">
      <c r="A105" s="228" t="s">
        <v>520</v>
      </c>
      <c r="B105" s="229"/>
      <c r="C105" s="230"/>
      <c r="D105" s="231"/>
      <c r="E105" s="230"/>
      <c r="F105" s="231"/>
      <c r="G105" s="232">
        <v>8450000</v>
      </c>
      <c r="H105" s="219"/>
    </row>
    <row r="106" spans="1:10" s="220" customFormat="1" ht="15" customHeight="1" x14ac:dyDescent="0.25">
      <c r="A106" s="228" t="s">
        <v>521</v>
      </c>
      <c r="B106" s="229"/>
      <c r="C106" s="230"/>
      <c r="D106" s="231"/>
      <c r="E106" s="230"/>
      <c r="F106" s="231"/>
      <c r="G106" s="232">
        <v>2000000</v>
      </c>
      <c r="H106" s="219"/>
    </row>
    <row r="107" spans="1:10" ht="15" customHeight="1" x14ac:dyDescent="0.25">
      <c r="A107" s="227" t="s">
        <v>412</v>
      </c>
      <c r="B107" s="97"/>
      <c r="C107" s="139"/>
      <c r="D107" s="140">
        <v>5483275.2300000004</v>
      </c>
      <c r="E107" s="285">
        <f>+F107-D107</f>
        <v>2516724.7699999996</v>
      </c>
      <c r="F107" s="140">
        <v>8000000</v>
      </c>
      <c r="G107" s="141"/>
      <c r="H107" s="76">
        <v>9000000</v>
      </c>
      <c r="J107" s="46"/>
    </row>
    <row r="108" spans="1:10" s="220" customFormat="1" ht="15" customHeight="1" x14ac:dyDescent="0.25">
      <c r="A108" s="214" t="s">
        <v>499</v>
      </c>
      <c r="B108" s="215"/>
      <c r="C108" s="216"/>
      <c r="D108" s="217"/>
      <c r="E108" s="216"/>
      <c r="F108" s="217"/>
      <c r="G108" s="218">
        <v>1500000</v>
      </c>
      <c r="H108" s="219"/>
    </row>
    <row r="109" spans="1:10" s="220" customFormat="1" ht="30" customHeight="1" x14ac:dyDescent="0.25">
      <c r="A109" s="214" t="s">
        <v>500</v>
      </c>
      <c r="B109" s="215"/>
      <c r="C109" s="216"/>
      <c r="D109" s="217"/>
      <c r="E109" s="216"/>
      <c r="F109" s="217"/>
      <c r="G109" s="218">
        <v>20000000</v>
      </c>
      <c r="H109" s="219"/>
    </row>
    <row r="110" spans="1:10" s="220" customFormat="1" ht="30" customHeight="1" x14ac:dyDescent="0.25">
      <c r="A110" s="214" t="s">
        <v>501</v>
      </c>
      <c r="B110" s="215"/>
      <c r="C110" s="216"/>
      <c r="D110" s="217"/>
      <c r="E110" s="216"/>
      <c r="F110" s="217"/>
      <c r="G110" s="218">
        <v>3000000</v>
      </c>
      <c r="H110" s="219"/>
      <c r="J110" s="41"/>
    </row>
    <row r="111" spans="1:10" s="220" customFormat="1" ht="15" customHeight="1" x14ac:dyDescent="0.25">
      <c r="A111" s="221" t="s">
        <v>502</v>
      </c>
      <c r="B111" s="222"/>
      <c r="C111" s="223"/>
      <c r="D111" s="224"/>
      <c r="E111" s="223"/>
      <c r="F111" s="224"/>
      <c r="G111" s="218">
        <v>3000000</v>
      </c>
      <c r="H111" s="225"/>
      <c r="I111" s="225"/>
      <c r="J111" s="226"/>
    </row>
    <row r="112" spans="1:10" s="220" customFormat="1" ht="30" customHeight="1" x14ac:dyDescent="0.25">
      <c r="A112" s="221" t="s">
        <v>503</v>
      </c>
      <c r="B112" s="222"/>
      <c r="C112" s="223"/>
      <c r="D112" s="224"/>
      <c r="E112" s="223"/>
      <c r="F112" s="224"/>
      <c r="G112" s="218">
        <v>2040000</v>
      </c>
      <c r="H112" s="225"/>
      <c r="I112" s="225"/>
      <c r="J112" s="226"/>
    </row>
    <row r="113" spans="1:10" s="220" customFormat="1" ht="42.75" customHeight="1" x14ac:dyDescent="0.25">
      <c r="A113" s="221" t="s">
        <v>504</v>
      </c>
      <c r="B113" s="222"/>
      <c r="C113" s="223"/>
      <c r="D113" s="224"/>
      <c r="E113" s="223"/>
      <c r="F113" s="224"/>
      <c r="G113" s="218">
        <v>1636800</v>
      </c>
      <c r="H113" s="225"/>
      <c r="I113" s="225"/>
      <c r="J113" s="226"/>
    </row>
    <row r="114" spans="1:10" s="220" customFormat="1" ht="42" customHeight="1" x14ac:dyDescent="0.25">
      <c r="A114" s="221" t="s">
        <v>505</v>
      </c>
      <c r="B114" s="222"/>
      <c r="C114" s="223"/>
      <c r="D114" s="224"/>
      <c r="E114" s="223"/>
      <c r="F114" s="224"/>
      <c r="G114" s="218">
        <v>1500000</v>
      </c>
      <c r="H114" s="225"/>
      <c r="I114" s="225"/>
      <c r="J114" s="226"/>
    </row>
    <row r="115" spans="1:10" s="220" customFormat="1" ht="30" customHeight="1" x14ac:dyDescent="0.25">
      <c r="A115" s="221" t="s">
        <v>506</v>
      </c>
      <c r="B115" s="222"/>
      <c r="C115" s="223"/>
      <c r="D115" s="224"/>
      <c r="E115" s="223"/>
      <c r="F115" s="224"/>
      <c r="G115" s="218">
        <v>780000</v>
      </c>
      <c r="H115" s="225"/>
      <c r="I115" s="225"/>
      <c r="J115" s="226"/>
    </row>
    <row r="116" spans="1:10" s="220" customFormat="1" ht="15" customHeight="1" x14ac:dyDescent="0.25">
      <c r="A116" s="221" t="s">
        <v>507</v>
      </c>
      <c r="B116" s="222"/>
      <c r="C116" s="223"/>
      <c r="D116" s="224"/>
      <c r="E116" s="223"/>
      <c r="F116" s="224"/>
      <c r="G116" s="218">
        <v>500000</v>
      </c>
      <c r="H116" s="225"/>
      <c r="I116" s="225"/>
      <c r="J116" s="226"/>
    </row>
    <row r="117" spans="1:10" ht="30" customHeight="1" x14ac:dyDescent="0.25">
      <c r="A117" s="147" t="s">
        <v>356</v>
      </c>
      <c r="B117" s="148"/>
      <c r="C117" s="101">
        <f>SUM(C91:C116)</f>
        <v>0</v>
      </c>
      <c r="D117" s="101">
        <f>SUM(D91:D116)</f>
        <v>15711023.050000001</v>
      </c>
      <c r="E117" s="101">
        <f>SUM(E94:E116)</f>
        <v>15397476.949999999</v>
      </c>
      <c r="F117" s="101">
        <f>SUM(F91:F116)</f>
        <v>31108500</v>
      </c>
      <c r="G117" s="101">
        <f>SUM(G91:G116)</f>
        <v>61011800</v>
      </c>
      <c r="J117" s="46"/>
    </row>
    <row r="118" spans="1:10" ht="15" customHeight="1" x14ac:dyDescent="0.25">
      <c r="A118" s="142" t="s">
        <v>88</v>
      </c>
      <c r="B118" s="143"/>
      <c r="C118" s="144"/>
      <c r="D118" s="145"/>
      <c r="E118" s="144"/>
      <c r="F118" s="145"/>
      <c r="G118" s="146"/>
      <c r="J118" s="46"/>
    </row>
    <row r="119" spans="1:10" ht="15" customHeight="1" x14ac:dyDescent="0.25">
      <c r="A119" s="108" t="s">
        <v>414</v>
      </c>
      <c r="B119" s="91" t="s">
        <v>413</v>
      </c>
      <c r="C119" s="79"/>
      <c r="D119" s="125">
        <v>31250</v>
      </c>
      <c r="E119" s="79">
        <f>+F119-D119</f>
        <v>388750</v>
      </c>
      <c r="F119" s="125">
        <v>420000</v>
      </c>
      <c r="G119" s="109"/>
      <c r="H119" s="54"/>
      <c r="I119" s="54"/>
      <c r="J119" s="46"/>
    </row>
    <row r="120" spans="1:10" ht="15" customHeight="1" x14ac:dyDescent="0.25">
      <c r="A120" s="110" t="s">
        <v>422</v>
      </c>
      <c r="B120" s="91"/>
      <c r="C120" s="79"/>
      <c r="D120" s="125"/>
      <c r="E120" s="79"/>
      <c r="F120" s="125"/>
      <c r="G120" s="109"/>
      <c r="J120" s="46"/>
    </row>
    <row r="121" spans="1:10" ht="15" customHeight="1" x14ac:dyDescent="0.25">
      <c r="A121" s="110" t="s">
        <v>525</v>
      </c>
      <c r="B121" s="91"/>
      <c r="C121" s="79"/>
      <c r="D121" s="125"/>
      <c r="E121" s="79"/>
      <c r="F121" s="125"/>
      <c r="G121" s="109">
        <v>1000000</v>
      </c>
      <c r="J121" s="46"/>
    </row>
    <row r="122" spans="1:10" ht="15" customHeight="1" x14ac:dyDescent="0.25">
      <c r="A122" s="108" t="s">
        <v>102</v>
      </c>
      <c r="B122" s="91" t="s">
        <v>103</v>
      </c>
      <c r="C122" s="79"/>
      <c r="D122" s="125">
        <v>240000</v>
      </c>
      <c r="E122" s="79">
        <f>+F122-D122</f>
        <v>660000</v>
      </c>
      <c r="F122" s="125">
        <v>900000</v>
      </c>
      <c r="G122" s="109"/>
      <c r="H122" s="54"/>
      <c r="I122" s="54"/>
      <c r="J122" s="46"/>
    </row>
    <row r="123" spans="1:10" ht="15" customHeight="1" x14ac:dyDescent="0.25">
      <c r="A123" s="110" t="s">
        <v>421</v>
      </c>
      <c r="B123" s="91"/>
      <c r="C123" s="79"/>
      <c r="D123" s="125"/>
      <c r="E123" s="79"/>
      <c r="F123" s="125"/>
      <c r="G123" s="109"/>
      <c r="H123" s="54"/>
      <c r="I123" s="54"/>
      <c r="J123" s="46"/>
    </row>
    <row r="124" spans="1:10" ht="15" customHeight="1" x14ac:dyDescent="0.25">
      <c r="A124" s="202" t="s">
        <v>522</v>
      </c>
      <c r="B124" s="91"/>
      <c r="C124" s="203"/>
      <c r="D124" s="125"/>
      <c r="E124" s="203"/>
      <c r="F124" s="125"/>
      <c r="G124" s="204">
        <v>750000</v>
      </c>
      <c r="H124" s="54"/>
      <c r="I124" s="54"/>
      <c r="J124" s="46"/>
    </row>
    <row r="125" spans="1:10" ht="15" customHeight="1" x14ac:dyDescent="0.25">
      <c r="A125" s="202" t="s">
        <v>523</v>
      </c>
      <c r="B125" s="91"/>
      <c r="C125" s="203"/>
      <c r="D125" s="125"/>
      <c r="E125" s="203"/>
      <c r="F125" s="125"/>
      <c r="G125" s="204">
        <v>1500000</v>
      </c>
      <c r="H125" s="54"/>
      <c r="I125" s="54"/>
      <c r="J125" s="46"/>
    </row>
    <row r="126" spans="1:10" ht="15" customHeight="1" x14ac:dyDescent="0.25">
      <c r="A126" s="202" t="s">
        <v>524</v>
      </c>
      <c r="B126" s="91"/>
      <c r="C126" s="203"/>
      <c r="D126" s="125"/>
      <c r="E126" s="203"/>
      <c r="F126" s="125"/>
      <c r="G126" s="204">
        <v>1000000</v>
      </c>
      <c r="H126" s="54"/>
      <c r="I126" s="54"/>
      <c r="J126" s="46"/>
    </row>
    <row r="127" spans="1:10" ht="15" customHeight="1" x14ac:dyDescent="0.25">
      <c r="A127" s="201" t="s">
        <v>526</v>
      </c>
      <c r="B127" s="198"/>
      <c r="C127" s="58"/>
      <c r="D127" s="199"/>
      <c r="E127" s="58"/>
      <c r="F127" s="199"/>
      <c r="G127" s="200">
        <v>1500000</v>
      </c>
      <c r="H127" s="54"/>
      <c r="I127" s="54"/>
      <c r="J127" s="46"/>
    </row>
    <row r="128" spans="1:10" ht="15" customHeight="1" x14ac:dyDescent="0.25">
      <c r="A128" s="147" t="s">
        <v>112</v>
      </c>
      <c r="B128" s="148"/>
      <c r="C128" s="101">
        <f>SUM(C118:C126)</f>
        <v>0</v>
      </c>
      <c r="D128" s="101">
        <f>SUM(D118:D126)</f>
        <v>271250</v>
      </c>
      <c r="E128" s="101">
        <f>SUM(E118:E126)</f>
        <v>1048750</v>
      </c>
      <c r="F128" s="101">
        <f>SUM(F118:F126)</f>
        <v>1320000</v>
      </c>
      <c r="G128" s="101">
        <f>SUM(G118:G127)</f>
        <v>5750000</v>
      </c>
      <c r="J128" s="46"/>
    </row>
    <row r="129" spans="1:10" ht="15" customHeight="1" x14ac:dyDescent="0.25">
      <c r="A129" s="151" t="s">
        <v>113</v>
      </c>
      <c r="B129" s="152"/>
      <c r="C129" s="153">
        <f>C117+C128</f>
        <v>0</v>
      </c>
      <c r="D129" s="153">
        <f>D117+D128</f>
        <v>15982273.050000001</v>
      </c>
      <c r="E129" s="153">
        <f>E117+E128</f>
        <v>16446226.949999999</v>
      </c>
      <c r="F129" s="153">
        <f>F117+F128</f>
        <v>32428500</v>
      </c>
      <c r="G129" s="153">
        <f>G117+G128</f>
        <v>66761800</v>
      </c>
      <c r="H129" s="281"/>
      <c r="J129" s="46"/>
    </row>
    <row r="130" spans="1:10" ht="51" customHeight="1" x14ac:dyDescent="0.25">
      <c r="A130" s="131" t="s">
        <v>303</v>
      </c>
      <c r="B130" s="150"/>
      <c r="C130" s="133"/>
      <c r="D130" s="134"/>
      <c r="E130" s="133"/>
      <c r="F130" s="134"/>
      <c r="G130" s="135"/>
    </row>
    <row r="131" spans="1:10" ht="15" customHeight="1" x14ac:dyDescent="0.25">
      <c r="A131" s="106" t="s">
        <v>298</v>
      </c>
      <c r="B131" s="119"/>
      <c r="C131" s="78"/>
      <c r="D131" s="124"/>
      <c r="E131" s="78"/>
      <c r="F131" s="124"/>
      <c r="G131" s="107"/>
    </row>
    <row r="132" spans="1:10" ht="15" customHeight="1" x14ac:dyDescent="0.25">
      <c r="A132" s="108" t="s">
        <v>51</v>
      </c>
      <c r="B132" s="91" t="s">
        <v>52</v>
      </c>
      <c r="C132" s="79"/>
      <c r="D132" s="125"/>
      <c r="E132" s="79"/>
      <c r="F132" s="125"/>
      <c r="G132" s="109">
        <v>500000</v>
      </c>
      <c r="J132" s="46">
        <f>SUM(D132:E132)</f>
        <v>0</v>
      </c>
    </row>
    <row r="133" spans="1:10" ht="15" customHeight="1" x14ac:dyDescent="0.25">
      <c r="A133" s="108" t="s">
        <v>80</v>
      </c>
      <c r="B133" s="91" t="s">
        <v>81</v>
      </c>
      <c r="C133" s="79"/>
      <c r="D133" s="125">
        <v>274400</v>
      </c>
      <c r="E133" s="79">
        <f>+F133-D133</f>
        <v>575600</v>
      </c>
      <c r="F133" s="125">
        <v>850000</v>
      </c>
      <c r="G133" s="109">
        <v>750000</v>
      </c>
      <c r="J133" s="46">
        <f>SUM(D133:E133)</f>
        <v>850000</v>
      </c>
    </row>
    <row r="134" spans="1:10" ht="15" customHeight="1" x14ac:dyDescent="0.25">
      <c r="A134" s="108" t="s">
        <v>139</v>
      </c>
      <c r="B134" s="91" t="s">
        <v>138</v>
      </c>
      <c r="C134" s="79"/>
      <c r="D134" s="125"/>
      <c r="E134" s="79"/>
      <c r="F134" s="125"/>
      <c r="G134" s="109"/>
      <c r="J134" s="46">
        <f>SUM(D134:E134)</f>
        <v>0</v>
      </c>
    </row>
    <row r="135" spans="1:10" ht="15" customHeight="1" x14ac:dyDescent="0.25">
      <c r="A135" s="110" t="s">
        <v>347</v>
      </c>
      <c r="B135" s="91"/>
      <c r="C135" s="79"/>
      <c r="D135" s="125">
        <v>56250</v>
      </c>
      <c r="E135" s="79">
        <f t="shared" ref="E135:E144" si="5">+F135-D135</f>
        <v>13750</v>
      </c>
      <c r="F135" s="125">
        <v>70000</v>
      </c>
      <c r="G135" s="109"/>
      <c r="J135" s="46"/>
    </row>
    <row r="136" spans="1:10" ht="15" customHeight="1" x14ac:dyDescent="0.25">
      <c r="A136" s="108" t="s">
        <v>53</v>
      </c>
      <c r="B136" s="91" t="s">
        <v>54</v>
      </c>
      <c r="C136" s="79"/>
      <c r="D136" s="125">
        <v>12851.36</v>
      </c>
      <c r="E136" s="79">
        <f t="shared" si="5"/>
        <v>287148.64</v>
      </c>
      <c r="F136" s="125">
        <v>300000</v>
      </c>
      <c r="G136" s="109">
        <v>1000000</v>
      </c>
      <c r="J136" s="46">
        <f>SUM(D136:E136)</f>
        <v>300000</v>
      </c>
    </row>
    <row r="137" spans="1:10" ht="15" customHeight="1" x14ac:dyDescent="0.25">
      <c r="A137" s="108" t="s">
        <v>61</v>
      </c>
      <c r="B137" s="91" t="s">
        <v>62</v>
      </c>
      <c r="C137" s="79"/>
      <c r="D137" s="125"/>
      <c r="E137" s="79"/>
      <c r="F137" s="125"/>
      <c r="G137" s="109">
        <v>30000</v>
      </c>
      <c r="J137" s="46"/>
    </row>
    <row r="138" spans="1:10" ht="15" customHeight="1" x14ac:dyDescent="0.25">
      <c r="A138" s="108" t="s">
        <v>77</v>
      </c>
      <c r="B138" s="91" t="s">
        <v>78</v>
      </c>
      <c r="C138" s="79"/>
      <c r="D138" s="125"/>
      <c r="E138" s="79"/>
      <c r="F138" s="125"/>
      <c r="G138" s="109">
        <v>700000</v>
      </c>
      <c r="J138" s="46"/>
    </row>
    <row r="139" spans="1:10" ht="30" customHeight="1" x14ac:dyDescent="0.25">
      <c r="A139" s="108" t="s">
        <v>42</v>
      </c>
      <c r="B139" s="91" t="s">
        <v>176</v>
      </c>
      <c r="C139" s="79"/>
      <c r="D139" s="125">
        <v>65150</v>
      </c>
      <c r="E139" s="79">
        <f t="shared" si="5"/>
        <v>4850</v>
      </c>
      <c r="F139" s="125">
        <v>70000</v>
      </c>
      <c r="G139" s="109"/>
      <c r="J139" s="46">
        <f>SUM(D139:E139)</f>
        <v>70000</v>
      </c>
    </row>
    <row r="140" spans="1:10" ht="15" customHeight="1" x14ac:dyDescent="0.25">
      <c r="A140" s="110" t="s">
        <v>509</v>
      </c>
      <c r="B140" s="91"/>
      <c r="C140" s="79"/>
      <c r="D140" s="125"/>
      <c r="E140" s="79"/>
      <c r="F140" s="125"/>
      <c r="G140" s="109">
        <v>200000</v>
      </c>
      <c r="J140" s="46"/>
    </row>
    <row r="141" spans="1:10" ht="15" customHeight="1" x14ac:dyDescent="0.25">
      <c r="A141" s="110" t="s">
        <v>512</v>
      </c>
      <c r="B141" s="91"/>
      <c r="C141" s="79"/>
      <c r="D141" s="125">
        <v>6426200</v>
      </c>
      <c r="E141" s="79">
        <f t="shared" si="5"/>
        <v>13373800</v>
      </c>
      <c r="F141" s="125">
        <v>19800000</v>
      </c>
      <c r="G141" s="109">
        <v>24000000</v>
      </c>
      <c r="J141" s="46"/>
    </row>
    <row r="142" spans="1:10" ht="15" customHeight="1" x14ac:dyDescent="0.25">
      <c r="A142" s="110" t="s">
        <v>511</v>
      </c>
      <c r="B142" s="91"/>
      <c r="C142" s="79"/>
      <c r="D142" s="125">
        <v>3776100</v>
      </c>
      <c r="E142" s="79">
        <f t="shared" si="5"/>
        <v>33653900</v>
      </c>
      <c r="F142" s="125">
        <v>37430000</v>
      </c>
      <c r="G142" s="109">
        <v>42000000</v>
      </c>
      <c r="J142" s="46"/>
    </row>
    <row r="143" spans="1:10" ht="15" customHeight="1" x14ac:dyDescent="0.25">
      <c r="A143" s="110" t="s">
        <v>346</v>
      </c>
      <c r="B143" s="91"/>
      <c r="C143" s="79"/>
      <c r="D143" s="125"/>
      <c r="E143" s="79"/>
      <c r="F143" s="125"/>
      <c r="G143" s="109">
        <v>10000000</v>
      </c>
      <c r="J143" s="46"/>
    </row>
    <row r="144" spans="1:10" ht="15" customHeight="1" x14ac:dyDescent="0.25">
      <c r="A144" s="110" t="s">
        <v>348</v>
      </c>
      <c r="B144" s="91"/>
      <c r="C144" s="79"/>
      <c r="D144" s="125">
        <v>91850</v>
      </c>
      <c r="E144" s="79">
        <f t="shared" si="5"/>
        <v>208150</v>
      </c>
      <c r="F144" s="125">
        <v>300000</v>
      </c>
      <c r="G144" s="109"/>
      <c r="J144" s="46"/>
    </row>
    <row r="145" spans="1:10" ht="15" customHeight="1" x14ac:dyDescent="0.25">
      <c r="A145" s="202" t="s">
        <v>561</v>
      </c>
      <c r="B145" s="91"/>
      <c r="C145" s="203"/>
      <c r="D145" s="125"/>
      <c r="E145" s="203"/>
      <c r="F145" s="125"/>
      <c r="G145" s="204">
        <v>7500000</v>
      </c>
      <c r="J145" s="46"/>
    </row>
    <row r="146" spans="1:10" ht="15" customHeight="1" x14ac:dyDescent="0.25">
      <c r="A146" s="202" t="s">
        <v>513</v>
      </c>
      <c r="B146" s="91"/>
      <c r="C146" s="203"/>
      <c r="D146" s="125"/>
      <c r="E146" s="203"/>
      <c r="F146" s="125"/>
      <c r="G146" s="204">
        <v>24000000</v>
      </c>
      <c r="J146" s="46"/>
    </row>
    <row r="147" spans="1:10" ht="15" customHeight="1" x14ac:dyDescent="0.25">
      <c r="A147" s="201" t="s">
        <v>514</v>
      </c>
      <c r="B147" s="198"/>
      <c r="C147" s="58"/>
      <c r="D147" s="199"/>
      <c r="E147" s="58"/>
      <c r="F147" s="199"/>
      <c r="G147" s="200">
        <v>12000000</v>
      </c>
      <c r="J147" s="46"/>
    </row>
    <row r="148" spans="1:10" ht="30" customHeight="1" x14ac:dyDescent="0.25">
      <c r="A148" s="147" t="s">
        <v>356</v>
      </c>
      <c r="B148" s="148"/>
      <c r="C148" s="101">
        <f>SUM(C132:C144)</f>
        <v>0</v>
      </c>
      <c r="D148" s="101">
        <f>SUM(D133:D147)</f>
        <v>10702801.359999999</v>
      </c>
      <c r="E148" s="101">
        <f>SUM(E133:E147)</f>
        <v>48117198.640000001</v>
      </c>
      <c r="F148" s="101">
        <f>SUM(F133:F147)</f>
        <v>58820000</v>
      </c>
      <c r="G148" s="101">
        <f>SUM(G133:G147)</f>
        <v>122180000</v>
      </c>
      <c r="J148" s="46"/>
    </row>
    <row r="149" spans="1:10" x14ac:dyDescent="0.25">
      <c r="A149" s="142" t="s">
        <v>88</v>
      </c>
      <c r="B149" s="143"/>
      <c r="C149" s="144"/>
      <c r="D149" s="145"/>
      <c r="E149" s="144"/>
      <c r="F149" s="145"/>
      <c r="G149" s="146"/>
      <c r="J149" s="46"/>
    </row>
    <row r="150" spans="1:10" ht="15" customHeight="1" x14ac:dyDescent="0.25">
      <c r="A150" s="108" t="s">
        <v>95</v>
      </c>
      <c r="B150" s="91" t="s">
        <v>96</v>
      </c>
      <c r="C150" s="79"/>
      <c r="D150" s="125"/>
      <c r="E150" s="79"/>
      <c r="F150" s="125"/>
      <c r="G150" s="109">
        <v>500000</v>
      </c>
      <c r="H150" s="54">
        <v>2000</v>
      </c>
      <c r="I150" s="54"/>
      <c r="J150" s="46">
        <f>SUM(D150:E150)</f>
        <v>0</v>
      </c>
    </row>
    <row r="151" spans="1:10" x14ac:dyDescent="0.25">
      <c r="A151" s="110" t="s">
        <v>367</v>
      </c>
      <c r="B151" s="91"/>
      <c r="C151" s="79"/>
      <c r="D151" s="125">
        <v>0</v>
      </c>
      <c r="E151" s="79">
        <f>+F151-D151</f>
        <v>50000</v>
      </c>
      <c r="F151" s="125">
        <v>50000</v>
      </c>
      <c r="G151" s="109"/>
      <c r="H151" s="54"/>
      <c r="I151" s="54"/>
      <c r="J151" s="46"/>
    </row>
    <row r="152" spans="1:10" x14ac:dyDescent="0.25">
      <c r="A152" s="108" t="s">
        <v>102</v>
      </c>
      <c r="B152" s="91" t="s">
        <v>103</v>
      </c>
      <c r="C152" s="79"/>
      <c r="D152" s="125"/>
      <c r="E152" s="79"/>
      <c r="F152" s="125"/>
      <c r="G152" s="109"/>
      <c r="H152" s="54"/>
      <c r="I152" s="54"/>
      <c r="J152" s="46"/>
    </row>
    <row r="153" spans="1:10" x14ac:dyDescent="0.25">
      <c r="A153" s="110" t="s">
        <v>365</v>
      </c>
      <c r="B153" s="91"/>
      <c r="C153" s="79"/>
      <c r="D153" s="125">
        <v>180000</v>
      </c>
      <c r="E153" s="79">
        <f>+F153-D153</f>
        <v>0</v>
      </c>
      <c r="F153" s="125">
        <v>180000</v>
      </c>
      <c r="G153" s="109"/>
      <c r="H153" s="54"/>
      <c r="I153" s="54"/>
      <c r="J153" s="46"/>
    </row>
    <row r="154" spans="1:10" x14ac:dyDescent="0.25">
      <c r="A154" s="110" t="s">
        <v>368</v>
      </c>
      <c r="B154" s="91"/>
      <c r="C154" s="79"/>
      <c r="D154" s="125">
        <v>0</v>
      </c>
      <c r="E154" s="79">
        <f>+F154-D154</f>
        <v>850000</v>
      </c>
      <c r="F154" s="125">
        <v>850000</v>
      </c>
      <c r="G154" s="109"/>
      <c r="H154" s="54"/>
      <c r="I154" s="54"/>
      <c r="J154" s="46"/>
    </row>
    <row r="155" spans="1:10" ht="30" customHeight="1" x14ac:dyDescent="0.25">
      <c r="A155" s="108" t="s">
        <v>97</v>
      </c>
      <c r="B155" s="91" t="s">
        <v>96</v>
      </c>
      <c r="C155" s="79"/>
      <c r="D155" s="125"/>
      <c r="E155" s="79"/>
      <c r="F155" s="125"/>
      <c r="G155" s="109"/>
      <c r="H155" s="54"/>
      <c r="I155" s="54"/>
      <c r="J155" s="46"/>
    </row>
    <row r="156" spans="1:10" ht="15" customHeight="1" x14ac:dyDescent="0.25">
      <c r="A156" s="110" t="s">
        <v>369</v>
      </c>
      <c r="B156" s="91"/>
      <c r="C156" s="79"/>
      <c r="D156" s="125">
        <v>0</v>
      </c>
      <c r="E156" s="79">
        <f>+F156-D156</f>
        <v>50000</v>
      </c>
      <c r="F156" s="125">
        <v>50000</v>
      </c>
      <c r="G156" s="109"/>
      <c r="H156" s="54"/>
      <c r="I156" s="54"/>
      <c r="J156" s="46"/>
    </row>
    <row r="157" spans="1:10" ht="15" customHeight="1" x14ac:dyDescent="0.25">
      <c r="A157" s="149" t="s">
        <v>370</v>
      </c>
      <c r="B157" s="97"/>
      <c r="C157" s="139"/>
      <c r="D157" s="140">
        <v>0</v>
      </c>
      <c r="E157" s="139">
        <f>+F157-D157</f>
        <v>50000</v>
      </c>
      <c r="F157" s="140">
        <v>50000</v>
      </c>
      <c r="G157" s="141"/>
      <c r="H157" s="54"/>
      <c r="I157" s="54"/>
      <c r="J157" s="46"/>
    </row>
    <row r="158" spans="1:10" ht="15" customHeight="1" x14ac:dyDescent="0.25">
      <c r="A158" s="147" t="s">
        <v>112</v>
      </c>
      <c r="B158" s="148"/>
      <c r="C158" s="101">
        <f>SUM(C149:C157)</f>
        <v>0</v>
      </c>
      <c r="D158" s="101">
        <f>SUM(D149:D157)</f>
        <v>180000</v>
      </c>
      <c r="E158" s="101">
        <f>SUM(E149:E157)</f>
        <v>1000000</v>
      </c>
      <c r="F158" s="101">
        <f>SUM(F149:F157)</f>
        <v>1180000</v>
      </c>
      <c r="G158" s="101">
        <f>SUM(G149:G157)</f>
        <v>500000</v>
      </c>
      <c r="J158" s="46"/>
    </row>
    <row r="159" spans="1:10" ht="15" customHeight="1" x14ac:dyDescent="0.25">
      <c r="A159" s="151" t="s">
        <v>113</v>
      </c>
      <c r="B159" s="152"/>
      <c r="C159" s="153">
        <f>C148+C158</f>
        <v>0</v>
      </c>
      <c r="D159" s="153">
        <f>D148+D158</f>
        <v>10882801.359999999</v>
      </c>
      <c r="E159" s="153">
        <f>E148+E158</f>
        <v>49117198.640000001</v>
      </c>
      <c r="F159" s="153">
        <f>F148+F158</f>
        <v>60000000</v>
      </c>
      <c r="G159" s="153">
        <f>G148+G158</f>
        <v>122680000</v>
      </c>
      <c r="H159" s="281"/>
      <c r="J159" s="46"/>
    </row>
    <row r="160" spans="1:10" ht="30" customHeight="1" x14ac:dyDescent="0.25">
      <c r="A160" s="131" t="s">
        <v>393</v>
      </c>
      <c r="B160" s="150"/>
      <c r="C160" s="133"/>
      <c r="D160" s="134"/>
      <c r="E160" s="133"/>
      <c r="F160" s="134"/>
      <c r="G160" s="135"/>
    </row>
    <row r="161" spans="1:10" ht="15" customHeight="1" x14ac:dyDescent="0.25">
      <c r="A161" s="106" t="s">
        <v>298</v>
      </c>
      <c r="B161" s="119"/>
      <c r="C161" s="78"/>
      <c r="D161" s="124"/>
      <c r="E161" s="78"/>
      <c r="F161" s="124"/>
      <c r="G161" s="107"/>
    </row>
    <row r="162" spans="1:10" ht="15" customHeight="1" x14ac:dyDescent="0.25">
      <c r="A162" s="108" t="s">
        <v>80</v>
      </c>
      <c r="B162" s="91" t="s">
        <v>81</v>
      </c>
      <c r="C162" s="79"/>
      <c r="D162" s="125">
        <v>4308260</v>
      </c>
      <c r="E162" s="79">
        <f>+F162-D162</f>
        <v>3991740</v>
      </c>
      <c r="F162" s="125">
        <v>8300000</v>
      </c>
      <c r="G162" s="109">
        <v>9000000</v>
      </c>
      <c r="J162" s="46">
        <f>SUM(D162:E162)</f>
        <v>8300000</v>
      </c>
    </row>
    <row r="163" spans="1:10" ht="15" customHeight="1" x14ac:dyDescent="0.25">
      <c r="A163" s="108" t="s">
        <v>139</v>
      </c>
      <c r="B163" s="91" t="s">
        <v>138</v>
      </c>
      <c r="C163" s="79"/>
      <c r="D163" s="125"/>
      <c r="E163" s="79"/>
      <c r="F163" s="125"/>
      <c r="G163" s="109"/>
      <c r="J163" s="46">
        <f>SUM(D163:E163)</f>
        <v>0</v>
      </c>
    </row>
    <row r="164" spans="1:10" ht="15" customHeight="1" x14ac:dyDescent="0.25">
      <c r="A164" s="110" t="s">
        <v>464</v>
      </c>
      <c r="B164" s="91"/>
      <c r="C164" s="79"/>
      <c r="D164" s="125">
        <v>161100</v>
      </c>
      <c r="E164" s="79">
        <f>+F164-D164</f>
        <v>246960</v>
      </c>
      <c r="F164" s="125">
        <v>408060</v>
      </c>
      <c r="G164" s="109">
        <v>1000000</v>
      </c>
      <c r="J164" s="46"/>
    </row>
    <row r="165" spans="1:10" ht="30" customHeight="1" x14ac:dyDescent="0.25">
      <c r="A165" s="138" t="s">
        <v>42</v>
      </c>
      <c r="B165" s="97" t="s">
        <v>176</v>
      </c>
      <c r="C165" s="139"/>
      <c r="D165" s="140">
        <v>10400</v>
      </c>
      <c r="E165" s="139">
        <f>+F165-D165</f>
        <v>21540</v>
      </c>
      <c r="F165" s="140">
        <v>31940</v>
      </c>
      <c r="G165" s="141">
        <v>1000000</v>
      </c>
      <c r="J165" s="46">
        <f>SUM(D165:E165)</f>
        <v>31940</v>
      </c>
    </row>
    <row r="166" spans="1:10" ht="30" customHeight="1" x14ac:dyDescent="0.25">
      <c r="A166" s="147" t="s">
        <v>356</v>
      </c>
      <c r="B166" s="148"/>
      <c r="C166" s="101">
        <f>SUM(C162:C165)</f>
        <v>0</v>
      </c>
      <c r="D166" s="101">
        <f>SUM(D162:D165)</f>
        <v>4479760</v>
      </c>
      <c r="E166" s="101">
        <f>SUM(E162:E165)</f>
        <v>4260240</v>
      </c>
      <c r="F166" s="101">
        <f>SUM(F162:F165)</f>
        <v>8740000</v>
      </c>
      <c r="G166" s="101">
        <f>SUM(G162:G165)</f>
        <v>11000000</v>
      </c>
      <c r="J166" s="46"/>
    </row>
    <row r="167" spans="1:10" x14ac:dyDescent="0.25">
      <c r="A167" s="142" t="s">
        <v>88</v>
      </c>
      <c r="B167" s="143"/>
      <c r="C167" s="144"/>
      <c r="D167" s="145"/>
      <c r="E167" s="144"/>
      <c r="F167" s="145"/>
      <c r="G167" s="146"/>
      <c r="J167" s="46"/>
    </row>
    <row r="168" spans="1:10" ht="15" customHeight="1" x14ac:dyDescent="0.25">
      <c r="A168" s="108" t="s">
        <v>92</v>
      </c>
      <c r="B168" s="91" t="s">
        <v>94</v>
      </c>
      <c r="C168" s="79"/>
      <c r="D168" s="125"/>
      <c r="E168" s="79"/>
      <c r="F168" s="125"/>
      <c r="G168" s="109"/>
      <c r="H168" s="54">
        <v>2000</v>
      </c>
      <c r="I168" s="54"/>
      <c r="J168" s="46">
        <f>SUM(D168:E168)</f>
        <v>0</v>
      </c>
    </row>
    <row r="169" spans="1:10" x14ac:dyDescent="0.25">
      <c r="A169" s="108" t="s">
        <v>301</v>
      </c>
      <c r="B169" s="91" t="s">
        <v>296</v>
      </c>
      <c r="C169" s="79"/>
      <c r="D169" s="125"/>
      <c r="E169" s="79"/>
      <c r="F169" s="125"/>
      <c r="G169" s="109"/>
      <c r="H169" s="54"/>
      <c r="I169" s="54"/>
      <c r="J169" s="46"/>
    </row>
    <row r="170" spans="1:10" x14ac:dyDescent="0.25">
      <c r="A170" s="110" t="s">
        <v>371</v>
      </c>
      <c r="B170" s="91"/>
      <c r="C170" s="79"/>
      <c r="D170" s="125">
        <v>793315</v>
      </c>
      <c r="E170" s="79">
        <f>+F170-D170</f>
        <v>2206685</v>
      </c>
      <c r="F170" s="125">
        <v>3000000</v>
      </c>
      <c r="G170" s="109">
        <v>1500000</v>
      </c>
      <c r="H170" s="54"/>
      <c r="I170" s="54"/>
      <c r="J170" s="46"/>
    </row>
    <row r="171" spans="1:10" x14ac:dyDescent="0.25">
      <c r="A171" s="110" t="s">
        <v>430</v>
      </c>
      <c r="B171" s="91"/>
      <c r="C171" s="79"/>
      <c r="D171" s="125"/>
      <c r="E171" s="79">
        <f>+F171-D171</f>
        <v>200000</v>
      </c>
      <c r="F171" s="125">
        <v>200000</v>
      </c>
      <c r="G171" s="109">
        <v>200000</v>
      </c>
      <c r="H171" s="54"/>
      <c r="I171" s="54"/>
      <c r="J171" s="46"/>
    </row>
    <row r="172" spans="1:10" x14ac:dyDescent="0.25">
      <c r="A172" s="108" t="s">
        <v>58</v>
      </c>
      <c r="B172" s="91" t="s">
        <v>100</v>
      </c>
      <c r="C172" s="79"/>
      <c r="D172" s="125"/>
      <c r="E172" s="79">
        <f>+F172-D172</f>
        <v>60000</v>
      </c>
      <c r="F172" s="125">
        <v>60000</v>
      </c>
      <c r="G172" s="109">
        <v>60000</v>
      </c>
      <c r="H172" s="54"/>
      <c r="I172" s="54"/>
      <c r="J172" s="46"/>
    </row>
    <row r="173" spans="1:10" ht="30" customHeight="1" x14ac:dyDescent="0.25">
      <c r="A173" s="108" t="s">
        <v>405</v>
      </c>
      <c r="B173" s="91" t="s">
        <v>406</v>
      </c>
      <c r="C173" s="79"/>
      <c r="D173" s="125"/>
      <c r="E173" s="79"/>
      <c r="F173" s="125"/>
      <c r="G173" s="109">
        <v>500000</v>
      </c>
      <c r="H173" s="54"/>
      <c r="I173" s="54"/>
      <c r="J173" s="46"/>
    </row>
    <row r="174" spans="1:10" x14ac:dyDescent="0.25">
      <c r="A174" s="108" t="s">
        <v>102</v>
      </c>
      <c r="B174" s="91" t="s">
        <v>103</v>
      </c>
      <c r="C174" s="79"/>
      <c r="D174" s="125"/>
      <c r="E174" s="79"/>
      <c r="F174" s="125"/>
      <c r="G174" s="109">
        <v>400000</v>
      </c>
      <c r="H174" s="54"/>
      <c r="I174" s="54"/>
      <c r="J174" s="46"/>
    </row>
    <row r="175" spans="1:10" x14ac:dyDescent="0.25">
      <c r="A175" s="201" t="s">
        <v>465</v>
      </c>
      <c r="B175" s="198"/>
      <c r="C175" s="58"/>
      <c r="D175" s="199"/>
      <c r="E175" s="58"/>
      <c r="F175" s="199"/>
      <c r="G175" s="200">
        <v>2000000</v>
      </c>
      <c r="H175" s="54"/>
      <c r="I175" s="54"/>
      <c r="J175" s="46"/>
    </row>
    <row r="176" spans="1:10" ht="15" customHeight="1" x14ac:dyDescent="0.25">
      <c r="A176" s="147" t="s">
        <v>112</v>
      </c>
      <c r="B176" s="148"/>
      <c r="C176" s="101">
        <f>SUM(C167:C174)</f>
        <v>0</v>
      </c>
      <c r="D176" s="101">
        <f>SUM(D167:D174)</f>
        <v>793315</v>
      </c>
      <c r="E176" s="101">
        <f>SUM(E167:E174)</f>
        <v>2466685</v>
      </c>
      <c r="F176" s="101">
        <f>SUM(F167:F174)</f>
        <v>3260000</v>
      </c>
      <c r="G176" s="101">
        <f>SUM(G167:G175)</f>
        <v>4660000</v>
      </c>
      <c r="J176" s="46"/>
    </row>
    <row r="177" spans="1:10" ht="15" customHeight="1" x14ac:dyDescent="0.25">
      <c r="A177" s="155" t="s">
        <v>304</v>
      </c>
      <c r="B177" s="156"/>
      <c r="C177" s="157"/>
      <c r="D177" s="158"/>
      <c r="E177" s="157"/>
      <c r="F177" s="158"/>
      <c r="G177" s="159"/>
      <c r="J177" s="46"/>
    </row>
    <row r="178" spans="1:10" ht="15" customHeight="1" x14ac:dyDescent="0.25">
      <c r="A178" s="106" t="s">
        <v>298</v>
      </c>
      <c r="B178" s="119"/>
      <c r="C178" s="78"/>
      <c r="D178" s="124"/>
      <c r="E178" s="78"/>
      <c r="F178" s="124"/>
      <c r="G178" s="107"/>
    </row>
    <row r="179" spans="1:10" ht="15" customHeight="1" x14ac:dyDescent="0.25">
      <c r="A179" s="108" t="s">
        <v>80</v>
      </c>
      <c r="B179" s="91" t="s">
        <v>81</v>
      </c>
      <c r="C179" s="79"/>
      <c r="D179" s="125">
        <v>279330</v>
      </c>
      <c r="E179" s="79">
        <f t="shared" ref="E179:E185" si="6">+F179-D179</f>
        <v>620670</v>
      </c>
      <c r="F179" s="125">
        <v>900000</v>
      </c>
      <c r="G179" s="109">
        <v>1000000</v>
      </c>
      <c r="H179" s="54">
        <v>2000</v>
      </c>
      <c r="I179" s="54"/>
      <c r="J179" s="46">
        <f t="shared" ref="J179:J184" si="7">SUM(D179:E179)</f>
        <v>900000</v>
      </c>
    </row>
    <row r="180" spans="1:10" ht="15" customHeight="1" x14ac:dyDescent="0.25">
      <c r="A180" s="108" t="s">
        <v>53</v>
      </c>
      <c r="B180" s="91" t="s">
        <v>54</v>
      </c>
      <c r="C180" s="79"/>
      <c r="D180" s="125">
        <v>36732.65</v>
      </c>
      <c r="E180" s="79">
        <f t="shared" si="6"/>
        <v>1163267.3500000001</v>
      </c>
      <c r="F180" s="125">
        <v>1200000</v>
      </c>
      <c r="G180" s="109">
        <v>1200000</v>
      </c>
      <c r="H180" s="54">
        <v>2000</v>
      </c>
      <c r="I180" s="54"/>
      <c r="J180" s="46">
        <f t="shared" si="7"/>
        <v>1200000</v>
      </c>
    </row>
    <row r="181" spans="1:10" ht="30" customHeight="1" x14ac:dyDescent="0.25">
      <c r="A181" s="108" t="s">
        <v>118</v>
      </c>
      <c r="B181" s="91" t="s">
        <v>117</v>
      </c>
      <c r="C181" s="79"/>
      <c r="D181" s="125"/>
      <c r="E181" s="79">
        <f t="shared" si="6"/>
        <v>300000</v>
      </c>
      <c r="F181" s="125">
        <v>300000</v>
      </c>
      <c r="G181" s="109">
        <v>300000</v>
      </c>
      <c r="H181" s="54">
        <v>2000</v>
      </c>
      <c r="I181" s="54"/>
      <c r="J181" s="46">
        <f t="shared" si="7"/>
        <v>300000</v>
      </c>
    </row>
    <row r="182" spans="1:10" ht="30" customHeight="1" x14ac:dyDescent="0.25">
      <c r="A182" s="108" t="s">
        <v>42</v>
      </c>
      <c r="B182" s="91" t="s">
        <v>176</v>
      </c>
      <c r="C182" s="79"/>
      <c r="D182" s="125">
        <v>491940</v>
      </c>
      <c r="E182" s="79">
        <f t="shared" si="6"/>
        <v>108060</v>
      </c>
      <c r="F182" s="125">
        <v>600000</v>
      </c>
      <c r="G182" s="109">
        <v>1000000</v>
      </c>
      <c r="H182" s="54">
        <v>2000</v>
      </c>
      <c r="I182" s="54"/>
      <c r="J182" s="46">
        <f t="shared" si="7"/>
        <v>600000</v>
      </c>
    </row>
    <row r="183" spans="1:10" ht="15" customHeight="1" x14ac:dyDescent="0.25">
      <c r="A183" s="108" t="s">
        <v>355</v>
      </c>
      <c r="B183" s="91" t="s">
        <v>46</v>
      </c>
      <c r="C183" s="79"/>
      <c r="D183" s="125"/>
      <c r="E183" s="79">
        <f t="shared" si="6"/>
        <v>500000</v>
      </c>
      <c r="F183" s="125">
        <v>500000</v>
      </c>
      <c r="G183" s="109">
        <v>500000</v>
      </c>
      <c r="H183" s="54">
        <v>2000</v>
      </c>
      <c r="I183" s="54"/>
      <c r="J183" s="46">
        <f t="shared" si="7"/>
        <v>500000</v>
      </c>
    </row>
    <row r="184" spans="1:10" ht="15" customHeight="1" x14ac:dyDescent="0.25">
      <c r="A184" s="108" t="s">
        <v>48</v>
      </c>
      <c r="B184" s="91" t="s">
        <v>49</v>
      </c>
      <c r="C184" s="79"/>
      <c r="D184" s="125"/>
      <c r="E184" s="79">
        <f t="shared" si="6"/>
        <v>1000000</v>
      </c>
      <c r="F184" s="125">
        <v>1000000</v>
      </c>
      <c r="G184" s="109">
        <v>1000000</v>
      </c>
      <c r="H184" s="54">
        <v>2000</v>
      </c>
      <c r="I184" s="54"/>
      <c r="J184" s="46">
        <f t="shared" si="7"/>
        <v>1000000</v>
      </c>
    </row>
    <row r="185" spans="1:10" ht="15" customHeight="1" x14ac:dyDescent="0.25">
      <c r="A185" s="149" t="s">
        <v>419</v>
      </c>
      <c r="B185" s="97"/>
      <c r="C185" s="139"/>
      <c r="D185" s="140">
        <v>188800</v>
      </c>
      <c r="E185" s="139">
        <f t="shared" si="6"/>
        <v>1311200</v>
      </c>
      <c r="F185" s="140">
        <v>1500000</v>
      </c>
      <c r="G185" s="141">
        <v>1500000</v>
      </c>
      <c r="H185" s="54"/>
      <c r="I185" s="54"/>
      <c r="J185" s="46"/>
    </row>
    <row r="186" spans="1:10" ht="30" customHeight="1" x14ac:dyDescent="0.25">
      <c r="A186" s="147" t="s">
        <v>356</v>
      </c>
      <c r="B186" s="148"/>
      <c r="C186" s="101">
        <f>SUM(C177:C185)</f>
        <v>0</v>
      </c>
      <c r="D186" s="101">
        <f>SUM(D179:D185)</f>
        <v>996802.65</v>
      </c>
      <c r="E186" s="101">
        <f>SUM(E177:E185)</f>
        <v>5003197.3499999996</v>
      </c>
      <c r="F186" s="101">
        <f>SUM(F177:F185)</f>
        <v>6000000</v>
      </c>
      <c r="G186" s="101">
        <f>SUM(G178:G185)</f>
        <v>6500000</v>
      </c>
      <c r="J186" s="46"/>
    </row>
    <row r="187" spans="1:10" x14ac:dyDescent="0.25">
      <c r="A187" s="142" t="s">
        <v>88</v>
      </c>
      <c r="B187" s="143"/>
      <c r="C187" s="144"/>
      <c r="D187" s="145"/>
      <c r="E187" s="144"/>
      <c r="F187" s="145"/>
      <c r="G187" s="146"/>
      <c r="J187" s="46"/>
    </row>
    <row r="188" spans="1:10" x14ac:dyDescent="0.25">
      <c r="A188" s="108" t="s">
        <v>102</v>
      </c>
      <c r="B188" s="91" t="s">
        <v>103</v>
      </c>
      <c r="C188" s="79"/>
      <c r="D188" s="125"/>
      <c r="E188" s="79"/>
      <c r="F188" s="125"/>
      <c r="G188" s="109"/>
      <c r="H188" s="54"/>
      <c r="I188" s="54"/>
      <c r="J188" s="46"/>
    </row>
    <row r="189" spans="1:10" ht="30" customHeight="1" x14ac:dyDescent="0.25">
      <c r="A189" s="149" t="s">
        <v>372</v>
      </c>
      <c r="B189" s="97"/>
      <c r="C189" s="139"/>
      <c r="D189" s="140"/>
      <c r="E189" s="139"/>
      <c r="F189" s="140"/>
      <c r="G189" s="141"/>
      <c r="H189" s="54"/>
      <c r="I189" s="54"/>
      <c r="J189" s="46"/>
    </row>
    <row r="190" spans="1:10" ht="15" customHeight="1" x14ac:dyDescent="0.25">
      <c r="A190" s="147" t="s">
        <v>112</v>
      </c>
      <c r="B190" s="148"/>
      <c r="C190" s="101">
        <f>SUM(C187:C189)</f>
        <v>0</v>
      </c>
      <c r="D190" s="101">
        <f>SUM(D187:D189)</f>
        <v>0</v>
      </c>
      <c r="E190" s="101">
        <f>SUM(E187:E189)</f>
        <v>0</v>
      </c>
      <c r="F190" s="101">
        <f>SUM(F187:F189)</f>
        <v>0</v>
      </c>
      <c r="G190" s="101">
        <f>SUM(G187:G189)</f>
        <v>0</v>
      </c>
      <c r="J190" s="46"/>
    </row>
    <row r="191" spans="1:10" ht="15" customHeight="1" x14ac:dyDescent="0.25">
      <c r="A191" s="151" t="s">
        <v>113</v>
      </c>
      <c r="B191" s="152"/>
      <c r="C191" s="153">
        <f>C166+C176+C186</f>
        <v>0</v>
      </c>
      <c r="D191" s="153">
        <f>D166+D176+D186</f>
        <v>6269877.6500000004</v>
      </c>
      <c r="E191" s="153">
        <f>E166+E176+E186</f>
        <v>11730122.35</v>
      </c>
      <c r="F191" s="153">
        <f>F166+F176+F186</f>
        <v>18000000</v>
      </c>
      <c r="G191" s="153">
        <f>G166+G176+G186</f>
        <v>22160000</v>
      </c>
      <c r="H191" s="281"/>
      <c r="J191" s="46"/>
    </row>
    <row r="192" spans="1:10" ht="15" customHeight="1" x14ac:dyDescent="0.25">
      <c r="A192" s="131" t="s">
        <v>305</v>
      </c>
      <c r="B192" s="150"/>
      <c r="C192" s="133"/>
      <c r="D192" s="134"/>
      <c r="E192" s="133"/>
      <c r="F192" s="134"/>
      <c r="G192" s="135"/>
    </row>
    <row r="193" spans="1:10" ht="15" customHeight="1" x14ac:dyDescent="0.25">
      <c r="A193" s="112" t="s">
        <v>373</v>
      </c>
      <c r="B193" s="91"/>
      <c r="C193" s="80"/>
      <c r="D193" s="126">
        <v>1512805</v>
      </c>
      <c r="E193" s="80">
        <f>+F193-D193</f>
        <v>3487195</v>
      </c>
      <c r="F193" s="126">
        <v>5000000</v>
      </c>
      <c r="G193" s="113">
        <v>15000000</v>
      </c>
    </row>
    <row r="194" spans="1:10" ht="30" customHeight="1" x14ac:dyDescent="0.25">
      <c r="A194" s="112" t="s">
        <v>555</v>
      </c>
      <c r="B194" s="91"/>
      <c r="C194" s="80"/>
      <c r="D194" s="126"/>
      <c r="E194" s="80"/>
      <c r="F194" s="126"/>
      <c r="G194" s="113">
        <v>6600000</v>
      </c>
    </row>
    <row r="195" spans="1:10" ht="15" customHeight="1" x14ac:dyDescent="0.25">
      <c r="A195" s="112" t="s">
        <v>556</v>
      </c>
      <c r="B195" s="91"/>
      <c r="C195" s="80"/>
      <c r="D195" s="126"/>
      <c r="E195" s="80"/>
      <c r="F195" s="126"/>
      <c r="G195" s="113">
        <v>4900000</v>
      </c>
    </row>
    <row r="196" spans="1:10" ht="15" customHeight="1" x14ac:dyDescent="0.25">
      <c r="A196" s="112" t="s">
        <v>374</v>
      </c>
      <c r="B196" s="91"/>
      <c r="C196" s="80"/>
      <c r="D196" s="126">
        <v>566000</v>
      </c>
      <c r="E196" s="80">
        <f>+F196-D196</f>
        <v>934000</v>
      </c>
      <c r="F196" s="126">
        <v>1500000</v>
      </c>
      <c r="G196" s="113"/>
    </row>
    <row r="197" spans="1:10" ht="30" customHeight="1" x14ac:dyDescent="0.25">
      <c r="A197" s="112" t="s">
        <v>557</v>
      </c>
      <c r="B197" s="91"/>
      <c r="C197" s="80"/>
      <c r="D197" s="126">
        <v>23953.5</v>
      </c>
      <c r="E197" s="80">
        <f>+F197-D197</f>
        <v>176046.5</v>
      </c>
      <c r="F197" s="126">
        <v>200000</v>
      </c>
      <c r="G197" s="113">
        <v>3500000</v>
      </c>
    </row>
    <row r="198" spans="1:10" ht="15" customHeight="1" x14ac:dyDescent="0.25">
      <c r="A198" s="160" t="s">
        <v>375</v>
      </c>
      <c r="B198" s="97"/>
      <c r="C198" s="161"/>
      <c r="D198" s="162"/>
      <c r="E198" s="161">
        <f>+F198-D198</f>
        <v>2000000</v>
      </c>
      <c r="F198" s="162">
        <v>2000000</v>
      </c>
      <c r="G198" s="163"/>
    </row>
    <row r="199" spans="1:10" ht="15" customHeight="1" x14ac:dyDescent="0.25">
      <c r="A199" s="151" t="s">
        <v>113</v>
      </c>
      <c r="B199" s="152"/>
      <c r="C199" s="153">
        <f>SUM(C193:C198)</f>
        <v>0</v>
      </c>
      <c r="D199" s="153">
        <f>SUM(D193:D198)</f>
        <v>2102758.5</v>
      </c>
      <c r="E199" s="153">
        <f>SUM(E193:E198)</f>
        <v>6597241.5</v>
      </c>
      <c r="F199" s="153">
        <f>SUM(F193:F198)</f>
        <v>8700000</v>
      </c>
      <c r="G199" s="153">
        <f>SUM(G193:G198)</f>
        <v>30000000</v>
      </c>
      <c r="H199" s="281"/>
      <c r="J199" s="46"/>
    </row>
    <row r="200" spans="1:10" ht="30" customHeight="1" x14ac:dyDescent="0.25">
      <c r="A200" s="131" t="s">
        <v>306</v>
      </c>
      <c r="B200" s="150"/>
      <c r="C200" s="133"/>
      <c r="D200" s="134"/>
      <c r="E200" s="133"/>
      <c r="F200" s="134"/>
      <c r="G200" s="135"/>
    </row>
    <row r="201" spans="1:10" ht="30" customHeight="1" x14ac:dyDescent="0.25">
      <c r="A201" s="106" t="s">
        <v>376</v>
      </c>
      <c r="B201" s="119"/>
      <c r="C201" s="78"/>
      <c r="D201" s="124"/>
      <c r="E201" s="78"/>
      <c r="F201" s="124"/>
      <c r="G201" s="107"/>
    </row>
    <row r="202" spans="1:10" ht="15" customHeight="1" x14ac:dyDescent="0.25">
      <c r="A202" s="106" t="s">
        <v>298</v>
      </c>
      <c r="B202" s="119"/>
      <c r="C202" s="78"/>
      <c r="D202" s="124"/>
      <c r="E202" s="78"/>
      <c r="F202" s="124"/>
      <c r="G202" s="107"/>
    </row>
    <row r="203" spans="1:10" ht="15" customHeight="1" x14ac:dyDescent="0.25">
      <c r="A203" s="108" t="s">
        <v>51</v>
      </c>
      <c r="B203" s="91" t="s">
        <v>52</v>
      </c>
      <c r="C203" s="79"/>
      <c r="D203" s="125"/>
      <c r="E203" s="79"/>
      <c r="F203" s="125"/>
      <c r="G203" s="109">
        <v>300000</v>
      </c>
      <c r="J203" s="46">
        <f>SUM(D203:E203)</f>
        <v>0</v>
      </c>
    </row>
    <row r="204" spans="1:10" ht="15" customHeight="1" x14ac:dyDescent="0.25">
      <c r="A204" s="110" t="s">
        <v>471</v>
      </c>
      <c r="B204" s="91"/>
      <c r="C204" s="79"/>
      <c r="D204" s="125"/>
      <c r="E204" s="79"/>
      <c r="F204" s="125"/>
      <c r="G204" s="109">
        <v>20000</v>
      </c>
      <c r="J204" s="46"/>
    </row>
    <row r="205" spans="1:10" ht="15" customHeight="1" x14ac:dyDescent="0.25">
      <c r="A205" s="108" t="s">
        <v>139</v>
      </c>
      <c r="B205" s="91" t="s">
        <v>138</v>
      </c>
      <c r="C205" s="79"/>
      <c r="D205" s="125"/>
      <c r="E205" s="79"/>
      <c r="F205" s="125"/>
      <c r="G205" s="109"/>
      <c r="J205" s="46">
        <f>SUM(D205:E205)</f>
        <v>0</v>
      </c>
    </row>
    <row r="206" spans="1:10" ht="15" customHeight="1" x14ac:dyDescent="0.25">
      <c r="A206" s="110" t="s">
        <v>466</v>
      </c>
      <c r="B206" s="91"/>
      <c r="C206" s="79"/>
      <c r="D206" s="125">
        <v>95600</v>
      </c>
      <c r="E206" s="79">
        <f>+F206-D206</f>
        <v>4400</v>
      </c>
      <c r="F206" s="125">
        <v>100000</v>
      </c>
      <c r="G206" s="109">
        <v>960000</v>
      </c>
      <c r="J206" s="46"/>
    </row>
    <row r="207" spans="1:10" ht="15" customHeight="1" x14ac:dyDescent="0.25">
      <c r="A207" s="110" t="s">
        <v>377</v>
      </c>
      <c r="B207" s="91"/>
      <c r="C207" s="79"/>
      <c r="D207" s="125">
        <v>30512</v>
      </c>
      <c r="E207" s="79">
        <f>+F207-D207</f>
        <v>69488</v>
      </c>
      <c r="F207" s="125">
        <v>100000</v>
      </c>
      <c r="G207" s="109">
        <v>210000</v>
      </c>
      <c r="J207" s="46"/>
    </row>
    <row r="208" spans="1:10" ht="15" customHeight="1" x14ac:dyDescent="0.25">
      <c r="A208" s="110" t="s">
        <v>467</v>
      </c>
      <c r="B208" s="91"/>
      <c r="C208" s="79"/>
      <c r="D208" s="125"/>
      <c r="E208" s="79"/>
      <c r="F208" s="125"/>
      <c r="G208" s="109">
        <v>300000</v>
      </c>
      <c r="J208" s="46"/>
    </row>
    <row r="209" spans="1:10" ht="15" customHeight="1" x14ac:dyDescent="0.25">
      <c r="A209" s="110" t="s">
        <v>468</v>
      </c>
      <c r="B209" s="91"/>
      <c r="C209" s="79"/>
      <c r="D209" s="125"/>
      <c r="E209" s="79"/>
      <c r="F209" s="125"/>
      <c r="G209" s="109">
        <v>500000</v>
      </c>
      <c r="J209" s="46"/>
    </row>
    <row r="210" spans="1:10" ht="15" customHeight="1" x14ac:dyDescent="0.25">
      <c r="A210" s="110" t="s">
        <v>469</v>
      </c>
      <c r="B210" s="91"/>
      <c r="C210" s="79"/>
      <c r="D210" s="125"/>
      <c r="E210" s="79"/>
      <c r="F210" s="125"/>
      <c r="G210" s="109">
        <v>150000</v>
      </c>
      <c r="J210" s="46"/>
    </row>
    <row r="211" spans="1:10" ht="30" customHeight="1" x14ac:dyDescent="0.25">
      <c r="A211" s="110" t="s">
        <v>470</v>
      </c>
      <c r="B211" s="91"/>
      <c r="C211" s="79"/>
      <c r="D211" s="125"/>
      <c r="E211" s="79"/>
      <c r="F211" s="125"/>
      <c r="G211" s="109">
        <v>300000</v>
      </c>
      <c r="J211" s="46"/>
    </row>
    <row r="212" spans="1:10" ht="15" customHeight="1" x14ac:dyDescent="0.25">
      <c r="A212" s="108" t="s">
        <v>53</v>
      </c>
      <c r="B212" s="91" t="s">
        <v>54</v>
      </c>
      <c r="C212" s="79"/>
      <c r="D212" s="125">
        <v>2011795.26</v>
      </c>
      <c r="E212" s="79">
        <f>+F212-D212</f>
        <v>5968204.7400000002</v>
      </c>
      <c r="F212" s="125">
        <v>7980000</v>
      </c>
      <c r="G212" s="109">
        <v>12500000</v>
      </c>
      <c r="J212" s="46">
        <f t="shared" ref="J212:J217" si="8">SUM(D212:E212)</f>
        <v>7980000</v>
      </c>
    </row>
    <row r="213" spans="1:10" ht="15" customHeight="1" x14ac:dyDescent="0.25">
      <c r="A213" s="108" t="s">
        <v>80</v>
      </c>
      <c r="B213" s="91" t="s">
        <v>81</v>
      </c>
      <c r="C213" s="79"/>
      <c r="D213" s="125"/>
      <c r="E213" s="79"/>
      <c r="F213" s="125"/>
      <c r="G213" s="109"/>
      <c r="J213" s="46">
        <f t="shared" si="8"/>
        <v>0</v>
      </c>
    </row>
    <row r="214" spans="1:10" ht="15" customHeight="1" x14ac:dyDescent="0.25">
      <c r="A214" s="110" t="s">
        <v>428</v>
      </c>
      <c r="B214" s="91"/>
      <c r="C214" s="79"/>
      <c r="D214" s="125">
        <v>9750480</v>
      </c>
      <c r="E214" s="79">
        <f>+F214-D214</f>
        <v>11250000</v>
      </c>
      <c r="F214" s="125">
        <v>21000480</v>
      </c>
      <c r="G214" s="109">
        <v>24900000</v>
      </c>
      <c r="J214" s="46">
        <f t="shared" si="8"/>
        <v>21000480</v>
      </c>
    </row>
    <row r="215" spans="1:10" ht="30" customHeight="1" x14ac:dyDescent="0.25">
      <c r="A215" s="108" t="s">
        <v>118</v>
      </c>
      <c r="B215" s="91" t="s">
        <v>117</v>
      </c>
      <c r="C215" s="79"/>
      <c r="D215" s="125">
        <v>680275</v>
      </c>
      <c r="E215" s="79">
        <f>+F215-D215</f>
        <v>6819725</v>
      </c>
      <c r="F215" s="125">
        <v>7500000</v>
      </c>
      <c r="G215" s="109">
        <v>3600000</v>
      </c>
      <c r="J215" s="46">
        <f t="shared" si="8"/>
        <v>7500000</v>
      </c>
    </row>
    <row r="216" spans="1:10" ht="30" customHeight="1" x14ac:dyDescent="0.25">
      <c r="A216" s="108" t="s">
        <v>42</v>
      </c>
      <c r="B216" s="91" t="s">
        <v>176</v>
      </c>
      <c r="C216" s="79"/>
      <c r="D216" s="125"/>
      <c r="E216" s="79"/>
      <c r="F216" s="125"/>
      <c r="G216" s="109"/>
      <c r="J216" s="46">
        <f t="shared" si="8"/>
        <v>0</v>
      </c>
    </row>
    <row r="217" spans="1:10" ht="30" customHeight="1" x14ac:dyDescent="0.25">
      <c r="A217" s="110" t="s">
        <v>429</v>
      </c>
      <c r="B217" s="91"/>
      <c r="C217" s="79"/>
      <c r="D217" s="125">
        <v>495000</v>
      </c>
      <c r="E217" s="79">
        <f>+F217-D217</f>
        <v>24520</v>
      </c>
      <c r="F217" s="125">
        <v>519520</v>
      </c>
      <c r="G217" s="109">
        <v>760000</v>
      </c>
      <c r="J217" s="46">
        <f t="shared" si="8"/>
        <v>519520</v>
      </c>
    </row>
    <row r="218" spans="1:10" ht="30" customHeight="1" x14ac:dyDescent="0.25">
      <c r="A218" s="202" t="s">
        <v>472</v>
      </c>
      <c r="B218" s="91"/>
      <c r="C218" s="203"/>
      <c r="D218" s="125"/>
      <c r="E218" s="203"/>
      <c r="F218" s="125"/>
      <c r="G218" s="204">
        <v>1500000</v>
      </c>
      <c r="J218" s="46"/>
    </row>
    <row r="219" spans="1:10" ht="15" customHeight="1" x14ac:dyDescent="0.25">
      <c r="A219" s="202" t="s">
        <v>473</v>
      </c>
      <c r="B219" s="91"/>
      <c r="C219" s="203"/>
      <c r="D219" s="125"/>
      <c r="E219" s="203"/>
      <c r="F219" s="125"/>
      <c r="G219" s="204">
        <v>400000</v>
      </c>
      <c r="J219" s="46"/>
    </row>
    <row r="220" spans="1:10" ht="30" customHeight="1" x14ac:dyDescent="0.25">
      <c r="A220" s="202" t="s">
        <v>474</v>
      </c>
      <c r="B220" s="91"/>
      <c r="C220" s="203"/>
      <c r="D220" s="125"/>
      <c r="E220" s="203"/>
      <c r="F220" s="125"/>
      <c r="G220" s="204">
        <v>500000</v>
      </c>
      <c r="J220" s="46"/>
    </row>
    <row r="221" spans="1:10" ht="15" customHeight="1" x14ac:dyDescent="0.25">
      <c r="A221" s="202" t="s">
        <v>475</v>
      </c>
      <c r="B221" s="91"/>
      <c r="C221" s="203"/>
      <c r="D221" s="125"/>
      <c r="E221" s="203"/>
      <c r="F221" s="125"/>
      <c r="G221" s="204">
        <v>150000</v>
      </c>
      <c r="J221" s="46"/>
    </row>
    <row r="222" spans="1:10" ht="15" customHeight="1" x14ac:dyDescent="0.25">
      <c r="A222" s="205" t="s">
        <v>476</v>
      </c>
      <c r="B222" s="143"/>
      <c r="C222" s="206"/>
      <c r="D222" s="145"/>
      <c r="E222" s="206"/>
      <c r="F222" s="145"/>
      <c r="G222" s="207">
        <v>300000</v>
      </c>
      <c r="J222" s="46"/>
    </row>
    <row r="223" spans="1:10" ht="30" customHeight="1" x14ac:dyDescent="0.25">
      <c r="A223" s="202" t="s">
        <v>477</v>
      </c>
      <c r="B223" s="91"/>
      <c r="C223" s="203"/>
      <c r="D223" s="125"/>
      <c r="E223" s="203"/>
      <c r="F223" s="125"/>
      <c r="G223" s="204">
        <v>100000</v>
      </c>
      <c r="J223" s="46"/>
    </row>
    <row r="224" spans="1:10" ht="30" customHeight="1" x14ac:dyDescent="0.25">
      <c r="A224" s="202" t="s">
        <v>478</v>
      </c>
      <c r="B224" s="91"/>
      <c r="C224" s="203"/>
      <c r="D224" s="125"/>
      <c r="E224" s="203"/>
      <c r="F224" s="125"/>
      <c r="G224" s="204">
        <v>800000</v>
      </c>
      <c r="J224" s="46"/>
    </row>
    <row r="225" spans="1:10" ht="30" customHeight="1" x14ac:dyDescent="0.25">
      <c r="A225" s="202" t="s">
        <v>488</v>
      </c>
      <c r="B225" s="91"/>
      <c r="C225" s="203"/>
      <c r="D225" s="125"/>
      <c r="E225" s="203"/>
      <c r="F225" s="125"/>
      <c r="G225" s="204">
        <v>100000</v>
      </c>
      <c r="J225" s="46"/>
    </row>
    <row r="226" spans="1:10" ht="30" customHeight="1" x14ac:dyDescent="0.25">
      <c r="A226" s="202" t="s">
        <v>479</v>
      </c>
      <c r="B226" s="91"/>
      <c r="C226" s="203"/>
      <c r="D226" s="125"/>
      <c r="E226" s="203"/>
      <c r="F226" s="125"/>
      <c r="G226" s="204">
        <v>50000</v>
      </c>
      <c r="J226" s="46"/>
    </row>
    <row r="227" spans="1:10" ht="30" customHeight="1" x14ac:dyDescent="0.25">
      <c r="A227" s="202" t="s">
        <v>480</v>
      </c>
      <c r="B227" s="91"/>
      <c r="C227" s="203"/>
      <c r="D227" s="125"/>
      <c r="E227" s="203"/>
      <c r="F227" s="125"/>
      <c r="G227" s="204">
        <v>50000</v>
      </c>
      <c r="J227" s="46"/>
    </row>
    <row r="228" spans="1:10" ht="30" customHeight="1" x14ac:dyDescent="0.25">
      <c r="A228" s="202" t="s">
        <v>481</v>
      </c>
      <c r="B228" s="91"/>
      <c r="C228" s="203"/>
      <c r="D228" s="125"/>
      <c r="E228" s="203"/>
      <c r="F228" s="125"/>
      <c r="G228" s="204">
        <v>20000</v>
      </c>
      <c r="J228" s="46"/>
    </row>
    <row r="229" spans="1:10" ht="30" customHeight="1" x14ac:dyDescent="0.25">
      <c r="A229" s="202" t="s">
        <v>482</v>
      </c>
      <c r="B229" s="91"/>
      <c r="C229" s="203"/>
      <c r="D229" s="125"/>
      <c r="E229" s="203"/>
      <c r="F229" s="125"/>
      <c r="G229" s="204">
        <v>20000</v>
      </c>
      <c r="J229" s="46"/>
    </row>
    <row r="230" spans="1:10" ht="30" customHeight="1" x14ac:dyDescent="0.25">
      <c r="A230" s="202" t="s">
        <v>483</v>
      </c>
      <c r="B230" s="91"/>
      <c r="C230" s="203"/>
      <c r="D230" s="125"/>
      <c r="E230" s="203"/>
      <c r="F230" s="125"/>
      <c r="G230" s="204">
        <v>200000</v>
      </c>
      <c r="J230" s="46"/>
    </row>
    <row r="231" spans="1:10" ht="30" customHeight="1" x14ac:dyDescent="0.25">
      <c r="A231" s="202" t="s">
        <v>484</v>
      </c>
      <c r="B231" s="91"/>
      <c r="C231" s="203"/>
      <c r="D231" s="125"/>
      <c r="E231" s="203"/>
      <c r="F231" s="125"/>
      <c r="G231" s="204">
        <v>80000</v>
      </c>
      <c r="J231" s="46"/>
    </row>
    <row r="232" spans="1:10" ht="15" customHeight="1" x14ac:dyDescent="0.25">
      <c r="A232" s="202" t="s">
        <v>485</v>
      </c>
      <c r="B232" s="91"/>
      <c r="C232" s="203"/>
      <c r="D232" s="125"/>
      <c r="E232" s="203"/>
      <c r="F232" s="125"/>
      <c r="G232" s="204">
        <v>60000</v>
      </c>
      <c r="J232" s="46"/>
    </row>
    <row r="233" spans="1:10" ht="30" customHeight="1" x14ac:dyDescent="0.25">
      <c r="A233" s="202" t="s">
        <v>486</v>
      </c>
      <c r="B233" s="91"/>
      <c r="C233" s="203"/>
      <c r="D233" s="125"/>
      <c r="E233" s="203"/>
      <c r="F233" s="125"/>
      <c r="G233" s="204">
        <v>20000</v>
      </c>
      <c r="J233" s="46"/>
    </row>
    <row r="234" spans="1:10" ht="15" customHeight="1" x14ac:dyDescent="0.25">
      <c r="A234" s="201" t="s">
        <v>487</v>
      </c>
      <c r="B234" s="198"/>
      <c r="C234" s="58"/>
      <c r="D234" s="199"/>
      <c r="E234" s="58"/>
      <c r="F234" s="199"/>
      <c r="G234" s="200">
        <v>50000</v>
      </c>
      <c r="J234" s="46"/>
    </row>
    <row r="235" spans="1:10" ht="30" customHeight="1" x14ac:dyDescent="0.25">
      <c r="A235" s="147" t="s">
        <v>356</v>
      </c>
      <c r="B235" s="148"/>
      <c r="C235" s="101">
        <f>SUM(C202:C234)</f>
        <v>0</v>
      </c>
      <c r="D235" s="101">
        <f>SUM(D202:D234)</f>
        <v>13063662.26</v>
      </c>
      <c r="E235" s="101">
        <f>SUM(E202:E234)</f>
        <v>24136337.740000002</v>
      </c>
      <c r="F235" s="101">
        <f>SUM(F202:F234)</f>
        <v>37200000</v>
      </c>
      <c r="G235" s="101">
        <f>SUM(G202:G234)</f>
        <v>48900000</v>
      </c>
      <c r="J235" s="46"/>
    </row>
    <row r="236" spans="1:10" ht="15" customHeight="1" x14ac:dyDescent="0.25">
      <c r="A236" s="142" t="s">
        <v>88</v>
      </c>
      <c r="B236" s="143"/>
      <c r="C236" s="144"/>
      <c r="D236" s="145"/>
      <c r="E236" s="144"/>
      <c r="F236" s="145"/>
      <c r="G236" s="146"/>
      <c r="J236" s="46"/>
    </row>
    <row r="237" spans="1:10" ht="15" customHeight="1" x14ac:dyDescent="0.25">
      <c r="A237" s="108" t="s">
        <v>344</v>
      </c>
      <c r="B237" s="91" t="s">
        <v>108</v>
      </c>
      <c r="C237" s="79"/>
      <c r="D237" s="125">
        <v>0</v>
      </c>
      <c r="E237" s="79">
        <f>+F237-D237</f>
        <v>150000</v>
      </c>
      <c r="F237" s="125">
        <v>150000</v>
      </c>
      <c r="G237" s="109"/>
      <c r="H237" s="54">
        <v>2000</v>
      </c>
      <c r="I237" s="54"/>
      <c r="J237" s="46">
        <f>SUM(D237:E237)</f>
        <v>150000</v>
      </c>
    </row>
    <row r="238" spans="1:10" ht="15" customHeight="1" x14ac:dyDescent="0.25">
      <c r="A238" s="111" t="s">
        <v>107</v>
      </c>
      <c r="B238" s="91"/>
      <c r="C238" s="79"/>
      <c r="D238" s="125"/>
      <c r="E238" s="79"/>
      <c r="F238" s="125"/>
      <c r="G238" s="109"/>
      <c r="H238" s="54"/>
      <c r="I238" s="54"/>
      <c r="J238" s="46"/>
    </row>
    <row r="239" spans="1:10" ht="15" customHeight="1" x14ac:dyDescent="0.25">
      <c r="A239" s="108" t="s">
        <v>102</v>
      </c>
      <c r="B239" s="91" t="s">
        <v>103</v>
      </c>
      <c r="C239" s="79"/>
      <c r="D239" s="125"/>
      <c r="E239" s="79"/>
      <c r="F239" s="125"/>
      <c r="G239" s="109"/>
      <c r="H239" s="54"/>
      <c r="I239" s="54"/>
      <c r="J239" s="46"/>
    </row>
    <row r="240" spans="1:10" ht="15" customHeight="1" x14ac:dyDescent="0.25">
      <c r="A240" s="110" t="s">
        <v>489</v>
      </c>
      <c r="B240" s="91"/>
      <c r="C240" s="79"/>
      <c r="D240" s="125">
        <v>300000</v>
      </c>
      <c r="E240" s="79">
        <f>+F240-D240</f>
        <v>0</v>
      </c>
      <c r="F240" s="125">
        <v>300000</v>
      </c>
      <c r="G240" s="109">
        <v>14000000</v>
      </c>
      <c r="H240" s="54"/>
      <c r="I240" s="54"/>
      <c r="J240" s="46"/>
    </row>
    <row r="241" spans="1:10" ht="30" customHeight="1" x14ac:dyDescent="0.25">
      <c r="A241" s="208" t="s">
        <v>490</v>
      </c>
      <c r="B241" s="143"/>
      <c r="C241" s="206"/>
      <c r="D241" s="145"/>
      <c r="E241" s="206"/>
      <c r="F241" s="145"/>
      <c r="G241" s="207">
        <v>1500000</v>
      </c>
      <c r="H241" s="54"/>
      <c r="I241" s="54"/>
      <c r="J241" s="46"/>
    </row>
    <row r="242" spans="1:10" ht="30" customHeight="1" x14ac:dyDescent="0.25">
      <c r="A242" s="209" t="s">
        <v>491</v>
      </c>
      <c r="B242" s="91"/>
      <c r="C242" s="203"/>
      <c r="D242" s="125"/>
      <c r="E242" s="203"/>
      <c r="F242" s="125"/>
      <c r="G242" s="204">
        <v>500000</v>
      </c>
      <c r="H242" s="54"/>
      <c r="I242" s="54"/>
      <c r="J242" s="46"/>
    </row>
    <row r="243" spans="1:10" ht="30" customHeight="1" x14ac:dyDescent="0.25">
      <c r="A243" s="209" t="s">
        <v>492</v>
      </c>
      <c r="B243" s="91"/>
      <c r="C243" s="203"/>
      <c r="D243" s="125"/>
      <c r="E243" s="203"/>
      <c r="F243" s="125"/>
      <c r="G243" s="204">
        <v>1500000</v>
      </c>
      <c r="H243" s="54"/>
      <c r="I243" s="54"/>
      <c r="J243" s="46"/>
    </row>
    <row r="244" spans="1:10" ht="30" customHeight="1" x14ac:dyDescent="0.25">
      <c r="A244" s="209" t="s">
        <v>493</v>
      </c>
      <c r="B244" s="91"/>
      <c r="C244" s="203"/>
      <c r="D244" s="125"/>
      <c r="E244" s="203"/>
      <c r="F244" s="125"/>
      <c r="G244" s="204">
        <v>1000000</v>
      </c>
      <c r="H244" s="54"/>
      <c r="I244" s="54"/>
      <c r="J244" s="46"/>
    </row>
    <row r="245" spans="1:10" ht="30" customHeight="1" x14ac:dyDescent="0.25">
      <c r="A245" s="209" t="s">
        <v>494</v>
      </c>
      <c r="B245" s="91"/>
      <c r="C245" s="203"/>
      <c r="D245" s="125"/>
      <c r="E245" s="203"/>
      <c r="F245" s="125"/>
      <c r="G245" s="204">
        <v>1000000</v>
      </c>
      <c r="H245" s="54"/>
      <c r="I245" s="54"/>
      <c r="J245" s="46"/>
    </row>
    <row r="246" spans="1:10" ht="30" customHeight="1" x14ac:dyDescent="0.25">
      <c r="A246" s="209" t="s">
        <v>495</v>
      </c>
      <c r="B246" s="91"/>
      <c r="C246" s="203"/>
      <c r="D246" s="125"/>
      <c r="E246" s="203"/>
      <c r="F246" s="125"/>
      <c r="G246" s="204">
        <v>40000</v>
      </c>
      <c r="H246" s="54"/>
      <c r="I246" s="54"/>
      <c r="J246" s="46"/>
    </row>
    <row r="247" spans="1:10" ht="30" customHeight="1" x14ac:dyDescent="0.25">
      <c r="A247" s="210" t="s">
        <v>496</v>
      </c>
      <c r="B247" s="198"/>
      <c r="C247" s="58"/>
      <c r="D247" s="199"/>
      <c r="E247" s="58"/>
      <c r="F247" s="199"/>
      <c r="G247" s="200">
        <v>300000</v>
      </c>
      <c r="H247" s="54"/>
      <c r="I247" s="54"/>
      <c r="J247" s="46"/>
    </row>
    <row r="248" spans="1:10" ht="15" customHeight="1" x14ac:dyDescent="0.25">
      <c r="A248" s="147" t="s">
        <v>112</v>
      </c>
      <c r="B248" s="148"/>
      <c r="C248" s="101">
        <f>SUM(C236:C247)</f>
        <v>0</v>
      </c>
      <c r="D248" s="101">
        <f>SUM(D236:D247)</f>
        <v>300000</v>
      </c>
      <c r="E248" s="101">
        <f>SUM(E236:E247)</f>
        <v>150000</v>
      </c>
      <c r="F248" s="101">
        <f>SUM(F236:F247)</f>
        <v>450000</v>
      </c>
      <c r="G248" s="101">
        <f>SUM(G236:G247)</f>
        <v>19840000</v>
      </c>
      <c r="J248" s="46"/>
    </row>
    <row r="249" spans="1:10" ht="15" customHeight="1" x14ac:dyDescent="0.25">
      <c r="A249" s="142" t="s">
        <v>378</v>
      </c>
      <c r="B249" s="164"/>
      <c r="C249" s="165"/>
      <c r="D249" s="166"/>
      <c r="E249" s="165"/>
      <c r="F249" s="166"/>
      <c r="G249" s="167"/>
    </row>
    <row r="250" spans="1:10" ht="30" customHeight="1" x14ac:dyDescent="0.25">
      <c r="A250" s="108" t="s">
        <v>415</v>
      </c>
      <c r="B250" s="91"/>
      <c r="C250" s="79"/>
      <c r="D250" s="125">
        <v>816244</v>
      </c>
      <c r="E250" s="79">
        <f>+F250-D250</f>
        <v>183756</v>
      </c>
      <c r="F250" s="125">
        <v>1000000</v>
      </c>
      <c r="G250" s="109"/>
      <c r="J250" s="46">
        <f>SUM(D250:E250)</f>
        <v>1000000</v>
      </c>
    </row>
    <row r="251" spans="1:10" ht="18" customHeight="1" x14ac:dyDescent="0.25">
      <c r="A251" s="108" t="s">
        <v>564</v>
      </c>
      <c r="B251" s="91"/>
      <c r="C251" s="79"/>
      <c r="D251" s="125"/>
      <c r="E251" s="79"/>
      <c r="F251" s="125"/>
      <c r="G251" s="109">
        <v>15000000</v>
      </c>
      <c r="J251" s="46"/>
    </row>
    <row r="252" spans="1:10" ht="15" customHeight="1" x14ac:dyDescent="0.25">
      <c r="A252" s="110" t="s">
        <v>395</v>
      </c>
      <c r="B252" s="91"/>
      <c r="C252" s="79"/>
      <c r="D252" s="125"/>
      <c r="E252" s="79"/>
      <c r="F252" s="125">
        <v>0</v>
      </c>
      <c r="G252" s="109">
        <v>10000000</v>
      </c>
      <c r="J252" s="46"/>
    </row>
    <row r="253" spans="1:10" ht="15" customHeight="1" x14ac:dyDescent="0.25">
      <c r="A253" s="110" t="s">
        <v>396</v>
      </c>
      <c r="B253" s="91"/>
      <c r="C253" s="79"/>
      <c r="D253" s="125"/>
      <c r="E253" s="79"/>
      <c r="F253" s="125">
        <v>0</v>
      </c>
      <c r="G253" s="109"/>
      <c r="J253" s="46"/>
    </row>
    <row r="254" spans="1:10" ht="15" customHeight="1" x14ac:dyDescent="0.25">
      <c r="A254" s="149" t="s">
        <v>397</v>
      </c>
      <c r="B254" s="97"/>
      <c r="C254" s="139">
        <v>7153910.2999999998</v>
      </c>
      <c r="D254" s="140"/>
      <c r="E254" s="139">
        <f>+F254-D254</f>
        <v>6000000</v>
      </c>
      <c r="F254" s="140">
        <v>6000000</v>
      </c>
      <c r="G254" s="141">
        <v>10000000</v>
      </c>
      <c r="J254" s="46"/>
    </row>
    <row r="255" spans="1:10" ht="15" customHeight="1" x14ac:dyDescent="0.25">
      <c r="A255" s="201" t="s">
        <v>565</v>
      </c>
      <c r="B255" s="198"/>
      <c r="C255" s="58"/>
      <c r="D255" s="199"/>
      <c r="E255" s="58"/>
      <c r="F255" s="199"/>
      <c r="G255" s="200">
        <v>5000000</v>
      </c>
      <c r="J255" s="46"/>
    </row>
    <row r="256" spans="1:10" ht="15" customHeight="1" x14ac:dyDescent="0.25">
      <c r="A256" s="287" t="s">
        <v>88</v>
      </c>
      <c r="B256" s="198"/>
      <c r="C256" s="58"/>
      <c r="D256" s="199"/>
      <c r="E256" s="58"/>
      <c r="F256" s="199"/>
      <c r="G256" s="200"/>
      <c r="J256" s="46"/>
    </row>
    <row r="257" spans="1:10" ht="15" customHeight="1" x14ac:dyDescent="0.25">
      <c r="A257" s="288" t="s">
        <v>568</v>
      </c>
      <c r="B257" s="198"/>
      <c r="C257" s="58"/>
      <c r="D257" s="199"/>
      <c r="E257" s="58">
        <f>+F257-D257</f>
        <v>9957234.6699999999</v>
      </c>
      <c r="F257" s="199">
        <v>9957234.6699999999</v>
      </c>
      <c r="G257" s="200"/>
      <c r="J257" s="46"/>
    </row>
    <row r="258" spans="1:10" ht="15" customHeight="1" x14ac:dyDescent="0.25">
      <c r="A258" s="201" t="s">
        <v>569</v>
      </c>
      <c r="B258" s="198"/>
      <c r="C258" s="58"/>
      <c r="D258" s="199"/>
      <c r="E258" s="58">
        <f>+F258-D258</f>
        <v>10000000</v>
      </c>
      <c r="F258" s="199">
        <v>10000000</v>
      </c>
      <c r="G258" s="200"/>
      <c r="J258" s="46"/>
    </row>
    <row r="259" spans="1:10" ht="45.75" customHeight="1" x14ac:dyDescent="0.25">
      <c r="A259" s="201" t="s">
        <v>566</v>
      </c>
      <c r="B259" s="198"/>
      <c r="C259" s="58"/>
      <c r="D259" s="199"/>
      <c r="E259" s="58"/>
      <c r="F259" s="199"/>
      <c r="G259" s="200">
        <v>600000</v>
      </c>
      <c r="J259" s="46"/>
    </row>
    <row r="260" spans="1:10" ht="15" customHeight="1" x14ac:dyDescent="0.25">
      <c r="A260" s="147" t="s">
        <v>379</v>
      </c>
      <c r="B260" s="148"/>
      <c r="C260" s="101">
        <f>SUM(C249:C254)</f>
        <v>7153910.2999999998</v>
      </c>
      <c r="D260" s="101">
        <f>SUM(D249:D254)</f>
        <v>816244</v>
      </c>
      <c r="E260" s="101">
        <f>SUM(E250:E259)</f>
        <v>26140990.670000002</v>
      </c>
      <c r="F260" s="101">
        <f>SUM(F250:F259)</f>
        <v>26957234.670000002</v>
      </c>
      <c r="G260" s="101">
        <f>SUM(G249:G259)</f>
        <v>40600000</v>
      </c>
      <c r="J260" s="46"/>
    </row>
    <row r="261" spans="1:10" ht="15" customHeight="1" x14ac:dyDescent="0.25">
      <c r="A261" s="151" t="s">
        <v>113</v>
      </c>
      <c r="B261" s="152"/>
      <c r="C261" s="153">
        <f>C235+C248+C260</f>
        <v>7153910.2999999998</v>
      </c>
      <c r="D261" s="153">
        <f>D235+D248+D260</f>
        <v>14179906.26</v>
      </c>
      <c r="E261" s="153">
        <f>E235+E248+E260</f>
        <v>50427328.410000004</v>
      </c>
      <c r="F261" s="153">
        <f>F235+F248+F260</f>
        <v>64607234.670000002</v>
      </c>
      <c r="G261" s="153">
        <f>G235+G248+G260</f>
        <v>109340000</v>
      </c>
      <c r="H261" s="281"/>
      <c r="J261" s="46"/>
    </row>
    <row r="262" spans="1:10" ht="30" customHeight="1" x14ac:dyDescent="0.25">
      <c r="A262" s="131" t="s">
        <v>343</v>
      </c>
      <c r="B262" s="150"/>
      <c r="C262" s="133"/>
      <c r="D262" s="134"/>
      <c r="E262" s="133"/>
      <c r="F262" s="134"/>
      <c r="G262" s="135"/>
    </row>
    <row r="263" spans="1:10" ht="15" customHeight="1" x14ac:dyDescent="0.25">
      <c r="A263" s="106" t="s">
        <v>298</v>
      </c>
      <c r="B263" s="119"/>
      <c r="C263" s="78"/>
      <c r="D263" s="124"/>
      <c r="E263" s="78"/>
      <c r="F263" s="124"/>
      <c r="G263" s="107"/>
    </row>
    <row r="264" spans="1:10" ht="15" customHeight="1" x14ac:dyDescent="0.25">
      <c r="A264" s="108" t="s">
        <v>80</v>
      </c>
      <c r="B264" s="91" t="s">
        <v>81</v>
      </c>
      <c r="C264" s="79"/>
      <c r="D264" s="125"/>
      <c r="E264" s="79"/>
      <c r="F264" s="125"/>
      <c r="G264" s="109">
        <v>1550000</v>
      </c>
      <c r="J264" s="46">
        <f>SUM(D264:E264)</f>
        <v>0</v>
      </c>
    </row>
    <row r="265" spans="1:10" ht="15" customHeight="1" x14ac:dyDescent="0.25">
      <c r="A265" s="108" t="s">
        <v>51</v>
      </c>
      <c r="B265" s="91" t="s">
        <v>52</v>
      </c>
      <c r="C265" s="79"/>
      <c r="D265" s="125">
        <v>1798200</v>
      </c>
      <c r="E265" s="79">
        <f>+F265-D265</f>
        <v>826000</v>
      </c>
      <c r="F265" s="125">
        <v>2624200</v>
      </c>
      <c r="G265" s="109">
        <v>1450000</v>
      </c>
      <c r="J265" s="46">
        <f>SUM(D265:E265)</f>
        <v>2624200</v>
      </c>
    </row>
    <row r="266" spans="1:10" ht="15" customHeight="1" x14ac:dyDescent="0.25">
      <c r="A266" s="108" t="s">
        <v>139</v>
      </c>
      <c r="B266" s="91" t="s">
        <v>138</v>
      </c>
      <c r="C266" s="79"/>
      <c r="D266" s="125"/>
      <c r="E266" s="79"/>
      <c r="F266" s="125"/>
      <c r="G266" s="109"/>
      <c r="J266" s="46">
        <f>SUM(D266:E266)</f>
        <v>0</v>
      </c>
    </row>
    <row r="267" spans="1:10" ht="30" customHeight="1" x14ac:dyDescent="0.25">
      <c r="A267" s="138" t="s">
        <v>42</v>
      </c>
      <c r="B267" s="97" t="s">
        <v>176</v>
      </c>
      <c r="C267" s="139"/>
      <c r="D267" s="140"/>
      <c r="E267" s="139"/>
      <c r="F267" s="140"/>
      <c r="G267" s="141"/>
      <c r="J267" s="46">
        <f>SUM(D267:E267)</f>
        <v>0</v>
      </c>
    </row>
    <row r="268" spans="1:10" ht="30" customHeight="1" x14ac:dyDescent="0.25">
      <c r="A268" s="147" t="s">
        <v>356</v>
      </c>
      <c r="B268" s="148"/>
      <c r="C268" s="101">
        <f>SUM(C264:C267)</f>
        <v>0</v>
      </c>
      <c r="D268" s="101">
        <f>SUM(D264:D267)</f>
        <v>1798200</v>
      </c>
      <c r="E268" s="101">
        <f>SUM(E264:E267)</f>
        <v>826000</v>
      </c>
      <c r="F268" s="101">
        <f>SUM(F264:F267)</f>
        <v>2624200</v>
      </c>
      <c r="G268" s="101">
        <f>SUM(G264:G267)</f>
        <v>3000000</v>
      </c>
      <c r="J268" s="46"/>
    </row>
    <row r="269" spans="1:10" x14ac:dyDescent="0.25">
      <c r="A269" s="151" t="s">
        <v>113</v>
      </c>
      <c r="B269" s="152"/>
      <c r="C269" s="153">
        <f>C268</f>
        <v>0</v>
      </c>
      <c r="D269" s="153">
        <f>D268</f>
        <v>1798200</v>
      </c>
      <c r="E269" s="153">
        <f>E268</f>
        <v>826000</v>
      </c>
      <c r="F269" s="153">
        <f>F268</f>
        <v>2624200</v>
      </c>
      <c r="G269" s="153">
        <f>G268</f>
        <v>3000000</v>
      </c>
      <c r="H269" s="281"/>
      <c r="J269" s="46"/>
    </row>
    <row r="270" spans="1:10" ht="30" customHeight="1" x14ac:dyDescent="0.25">
      <c r="A270" s="131" t="s">
        <v>352</v>
      </c>
      <c r="B270" s="150"/>
      <c r="C270" s="133"/>
      <c r="D270" s="134"/>
      <c r="E270" s="133"/>
      <c r="F270" s="134"/>
      <c r="G270" s="135"/>
    </row>
    <row r="271" spans="1:10" ht="30" customHeight="1" x14ac:dyDescent="0.25">
      <c r="A271" s="168" t="s">
        <v>380</v>
      </c>
      <c r="B271" s="169"/>
      <c r="C271" s="170"/>
      <c r="D271" s="171"/>
      <c r="E271" s="170"/>
      <c r="F271" s="171"/>
      <c r="G271" s="172"/>
    </row>
    <row r="272" spans="1:10" ht="15" customHeight="1" x14ac:dyDescent="0.25">
      <c r="A272" s="151" t="s">
        <v>113</v>
      </c>
      <c r="B272" s="152"/>
      <c r="C272" s="173"/>
      <c r="D272" s="173"/>
      <c r="E272" s="173"/>
      <c r="F272" s="173"/>
      <c r="G272" s="153">
        <f>SUM(G271)</f>
        <v>0</v>
      </c>
      <c r="J272" s="46"/>
    </row>
    <row r="273" spans="1:11" ht="15" customHeight="1" x14ac:dyDescent="0.25">
      <c r="A273" s="131" t="s">
        <v>353</v>
      </c>
      <c r="B273" s="150"/>
      <c r="C273" s="133"/>
      <c r="D273" s="134"/>
      <c r="E273" s="133"/>
      <c r="F273" s="134"/>
      <c r="G273" s="135"/>
    </row>
    <row r="274" spans="1:11" ht="45" customHeight="1" x14ac:dyDescent="0.25">
      <c r="A274" s="168" t="s">
        <v>381</v>
      </c>
      <c r="B274" s="169"/>
      <c r="C274" s="170"/>
      <c r="D274" s="171"/>
      <c r="E274" s="170"/>
      <c r="F274" s="171"/>
      <c r="G274" s="172"/>
    </row>
    <row r="275" spans="1:11" x14ac:dyDescent="0.25">
      <c r="A275" s="151" t="s">
        <v>113</v>
      </c>
      <c r="B275" s="152"/>
      <c r="C275" s="173"/>
      <c r="D275" s="173"/>
      <c r="E275" s="173"/>
      <c r="F275" s="173"/>
      <c r="G275" s="153">
        <f>SUM(G274)</f>
        <v>0</v>
      </c>
      <c r="J275" s="46"/>
    </row>
    <row r="276" spans="1:11" s="65" customFormat="1" x14ac:dyDescent="0.25">
      <c r="A276" s="174" t="s">
        <v>382</v>
      </c>
      <c r="B276" s="175"/>
      <c r="C276" s="176">
        <f>C47+C90+C129+C159+C191+C199+C261+C269</f>
        <v>7153910.2999999998</v>
      </c>
      <c r="D276" s="176">
        <f>D47+D90+D129+D159+D191+D199+D261+D269</f>
        <v>75456350.549999997</v>
      </c>
      <c r="E276" s="176">
        <f>E47+E90+E129+E159+E191+E199+E261+E269</f>
        <v>206718650.01199979</v>
      </c>
      <c r="F276" s="176">
        <f>F47+F90+F129+F159+F191+F199+F261+F269</f>
        <v>282175000.5619998</v>
      </c>
      <c r="G276" s="176">
        <f>G47+G90+G129+G159+G191+G199+G261+G269</f>
        <v>483529750</v>
      </c>
      <c r="J276" s="66"/>
    </row>
    <row r="277" spans="1:11" s="42" customFormat="1" ht="12.75" x14ac:dyDescent="0.2">
      <c r="A277" s="131" t="s">
        <v>190</v>
      </c>
      <c r="B277" s="150"/>
      <c r="C277" s="133"/>
      <c r="D277" s="134"/>
      <c r="E277" s="133"/>
      <c r="F277" s="134"/>
      <c r="G277" s="135"/>
    </row>
    <row r="278" spans="1:11" s="42" customFormat="1" ht="30" customHeight="1" x14ac:dyDescent="0.2">
      <c r="A278" s="114" t="s">
        <v>210</v>
      </c>
      <c r="B278" s="122"/>
      <c r="C278" s="81"/>
      <c r="D278" s="127"/>
      <c r="E278" s="81"/>
      <c r="F278" s="127"/>
      <c r="G278" s="115"/>
    </row>
    <row r="279" spans="1:11" s="42" customFormat="1" ht="30" customHeight="1" x14ac:dyDescent="0.2">
      <c r="A279" s="108" t="s">
        <v>418</v>
      </c>
      <c r="B279" s="91"/>
      <c r="C279" s="82">
        <v>2558399.5099999998</v>
      </c>
      <c r="D279" s="128">
        <v>0</v>
      </c>
      <c r="E279" s="79">
        <f>+F279-D279</f>
        <v>3000000</v>
      </c>
      <c r="F279" s="125">
        <v>3000000</v>
      </c>
      <c r="G279" s="290">
        <v>3000000</v>
      </c>
    </row>
    <row r="280" spans="1:11" s="42" customFormat="1" ht="15" customHeight="1" x14ac:dyDescent="0.2">
      <c r="A280" s="291" t="s">
        <v>235</v>
      </c>
      <c r="B280" s="91"/>
      <c r="C280" s="82"/>
      <c r="D280" s="128"/>
      <c r="E280" s="79"/>
      <c r="F280" s="125"/>
      <c r="G280" s="109"/>
      <c r="H280" s="292" t="s">
        <v>574</v>
      </c>
    </row>
    <row r="281" spans="1:11" s="42" customFormat="1" ht="15" customHeight="1" x14ac:dyDescent="0.2">
      <c r="A281" s="138" t="s">
        <v>228</v>
      </c>
      <c r="B281" s="97"/>
      <c r="C281" s="177">
        <v>120000</v>
      </c>
      <c r="D281" s="178"/>
      <c r="E281" s="139"/>
      <c r="F281" s="140"/>
      <c r="G281" s="141"/>
    </row>
    <row r="282" spans="1:11" s="42" customFormat="1" ht="15" customHeight="1" x14ac:dyDescent="0.2">
      <c r="A282" s="179" t="s">
        <v>191</v>
      </c>
      <c r="B282" s="148"/>
      <c r="C282" s="101">
        <f>SUM(C278:C281)</f>
        <v>2678399.5099999998</v>
      </c>
      <c r="D282" s="101">
        <f>SUM(D278:D281)</f>
        <v>0</v>
      </c>
      <c r="E282" s="101">
        <f>SUM(E278:E281)</f>
        <v>3000000</v>
      </c>
      <c r="F282" s="101">
        <f>SUM(F278:F281)</f>
        <v>3000000</v>
      </c>
      <c r="G282" s="101">
        <f>SUM(G278:G281)</f>
        <v>3000000</v>
      </c>
      <c r="H282" s="61">
        <f>SUM(G279:G281)</f>
        <v>3000000</v>
      </c>
      <c r="K282" s="57"/>
    </row>
    <row r="283" spans="1:11" s="42" customFormat="1" ht="15" customHeight="1" x14ac:dyDescent="0.2">
      <c r="A283" s="131" t="s">
        <v>192</v>
      </c>
      <c r="B283" s="150"/>
      <c r="C283" s="133"/>
      <c r="D283" s="134"/>
      <c r="E283" s="133"/>
      <c r="F283" s="134"/>
      <c r="G283" s="135"/>
    </row>
    <row r="284" spans="1:11" s="42" customFormat="1" ht="15" customHeight="1" x14ac:dyDescent="0.2">
      <c r="A284" s="114" t="s">
        <v>400</v>
      </c>
      <c r="B284" s="122"/>
      <c r="C284" s="81"/>
      <c r="D284" s="127"/>
      <c r="E284" s="81"/>
      <c r="F284" s="127"/>
      <c r="G284" s="115"/>
    </row>
    <row r="285" spans="1:11" s="42" customFormat="1" ht="29.25" customHeight="1" x14ac:dyDescent="0.2">
      <c r="A285" s="291" t="s">
        <v>383</v>
      </c>
      <c r="B285" s="91"/>
      <c r="C285" s="82">
        <v>1850000</v>
      </c>
      <c r="D285" s="128">
        <v>260720</v>
      </c>
      <c r="E285" s="79">
        <f>+F285-D285</f>
        <v>1239280</v>
      </c>
      <c r="F285" s="125">
        <v>1500000</v>
      </c>
      <c r="G285" s="293">
        <v>2000000</v>
      </c>
    </row>
    <row r="286" spans="1:11" s="42" customFormat="1" ht="16.5" customHeight="1" x14ac:dyDescent="0.2">
      <c r="A286" s="108" t="s">
        <v>448</v>
      </c>
      <c r="B286" s="91"/>
      <c r="C286" s="82"/>
      <c r="D286" s="128"/>
      <c r="E286" s="79">
        <f>+F286-D286</f>
        <v>500000</v>
      </c>
      <c r="F286" s="125">
        <v>500000</v>
      </c>
      <c r="G286" s="109">
        <v>500000</v>
      </c>
    </row>
    <row r="287" spans="1:11" s="42" customFormat="1" ht="15" customHeight="1" x14ac:dyDescent="0.2">
      <c r="A287" s="108" t="s">
        <v>193</v>
      </c>
      <c r="B287" s="91"/>
      <c r="C287" s="82">
        <v>100000</v>
      </c>
      <c r="D287" s="128"/>
      <c r="E287" s="79">
        <f>+F287-D287</f>
        <v>100000</v>
      </c>
      <c r="F287" s="125">
        <v>100000</v>
      </c>
      <c r="G287" s="109">
        <v>100000</v>
      </c>
    </row>
    <row r="288" spans="1:11" s="42" customFormat="1" ht="15" customHeight="1" x14ac:dyDescent="0.2">
      <c r="A288" s="108" t="s">
        <v>194</v>
      </c>
      <c r="B288" s="91"/>
      <c r="C288" s="82">
        <v>300000</v>
      </c>
      <c r="D288" s="128"/>
      <c r="E288" s="79">
        <f>+F288-D288</f>
        <v>300000</v>
      </c>
      <c r="F288" s="125">
        <v>300000</v>
      </c>
      <c r="G288" s="109">
        <v>300000</v>
      </c>
    </row>
    <row r="289" spans="1:7" s="42" customFormat="1" ht="54.95" customHeight="1" x14ac:dyDescent="0.2">
      <c r="A289" s="108" t="s">
        <v>195</v>
      </c>
      <c r="B289" s="91"/>
      <c r="C289" s="82">
        <v>1866980.78</v>
      </c>
      <c r="D289" s="128">
        <v>299940</v>
      </c>
      <c r="E289" s="79">
        <f>+F289-D289</f>
        <v>700060</v>
      </c>
      <c r="F289" s="125">
        <v>1000000</v>
      </c>
      <c r="G289" s="109">
        <v>1000000</v>
      </c>
    </row>
    <row r="290" spans="1:7" s="42" customFormat="1" ht="15" customHeight="1" x14ac:dyDescent="0.2">
      <c r="A290" s="108" t="s">
        <v>384</v>
      </c>
      <c r="B290" s="91"/>
      <c r="C290" s="82"/>
      <c r="D290" s="128"/>
      <c r="E290" s="79"/>
      <c r="F290" s="125"/>
      <c r="G290" s="109"/>
    </row>
    <row r="291" spans="1:7" s="42" customFormat="1" ht="15" customHeight="1" x14ac:dyDescent="0.2">
      <c r="A291" s="108" t="s">
        <v>345</v>
      </c>
      <c r="B291" s="91"/>
      <c r="C291" s="82">
        <v>1217745</v>
      </c>
      <c r="D291" s="128">
        <v>370600</v>
      </c>
      <c r="E291" s="79">
        <f>+F291-D291</f>
        <v>629400</v>
      </c>
      <c r="F291" s="125">
        <v>1000000</v>
      </c>
      <c r="G291" s="109">
        <v>1000000</v>
      </c>
    </row>
    <row r="292" spans="1:7" s="42" customFormat="1" ht="15" customHeight="1" x14ac:dyDescent="0.2">
      <c r="A292" s="108" t="s">
        <v>196</v>
      </c>
      <c r="B292" s="91"/>
      <c r="C292" s="82"/>
      <c r="D292" s="128"/>
      <c r="E292" s="79"/>
      <c r="F292" s="125"/>
      <c r="G292" s="109"/>
    </row>
    <row r="293" spans="1:7" s="42" customFormat="1" ht="15" customHeight="1" x14ac:dyDescent="0.2">
      <c r="A293" s="108" t="s">
        <v>563</v>
      </c>
      <c r="B293" s="91"/>
      <c r="C293" s="82"/>
      <c r="D293" s="128"/>
      <c r="E293" s="79"/>
      <c r="F293" s="125"/>
      <c r="G293" s="109"/>
    </row>
    <row r="294" spans="1:7" s="42" customFormat="1" ht="15" customHeight="1" x14ac:dyDescent="0.2">
      <c r="A294" s="108" t="s">
        <v>197</v>
      </c>
      <c r="B294" s="91"/>
      <c r="C294" s="82"/>
      <c r="D294" s="128"/>
      <c r="E294" s="79">
        <f t="shared" ref="E294:E299" si="9">+F294-D294</f>
        <v>500000</v>
      </c>
      <c r="F294" s="125">
        <v>500000</v>
      </c>
      <c r="G294" s="109">
        <v>500000</v>
      </c>
    </row>
    <row r="295" spans="1:7" s="42" customFormat="1" ht="15" customHeight="1" x14ac:dyDescent="0.2">
      <c r="A295" s="108" t="s">
        <v>198</v>
      </c>
      <c r="B295" s="91"/>
      <c r="C295" s="82">
        <v>10000</v>
      </c>
      <c r="D295" s="128"/>
      <c r="E295" s="79">
        <f t="shared" si="9"/>
        <v>10000</v>
      </c>
      <c r="F295" s="125">
        <v>10000</v>
      </c>
      <c r="G295" s="109">
        <v>10000</v>
      </c>
    </row>
    <row r="296" spans="1:7" s="42" customFormat="1" ht="15" customHeight="1" x14ac:dyDescent="0.2">
      <c r="A296" s="108" t="s">
        <v>199</v>
      </c>
      <c r="B296" s="91"/>
      <c r="C296" s="82">
        <v>30000</v>
      </c>
      <c r="D296" s="128"/>
      <c r="E296" s="79">
        <f t="shared" si="9"/>
        <v>30000</v>
      </c>
      <c r="F296" s="125">
        <v>30000</v>
      </c>
      <c r="G296" s="109">
        <v>30000</v>
      </c>
    </row>
    <row r="297" spans="1:7" s="42" customFormat="1" ht="15" customHeight="1" x14ac:dyDescent="0.2">
      <c r="A297" s="108" t="s">
        <v>200</v>
      </c>
      <c r="B297" s="91"/>
      <c r="C297" s="82">
        <v>100000</v>
      </c>
      <c r="D297" s="128"/>
      <c r="E297" s="79">
        <f t="shared" si="9"/>
        <v>100000</v>
      </c>
      <c r="F297" s="125">
        <v>100000</v>
      </c>
      <c r="G297" s="109">
        <v>100000</v>
      </c>
    </row>
    <row r="298" spans="1:7" s="42" customFormat="1" ht="30" customHeight="1" x14ac:dyDescent="0.2">
      <c r="A298" s="108" t="s">
        <v>201</v>
      </c>
      <c r="B298" s="91"/>
      <c r="C298" s="79"/>
      <c r="D298" s="125"/>
      <c r="E298" s="79">
        <f t="shared" si="9"/>
        <v>10000</v>
      </c>
      <c r="F298" s="125">
        <v>10000</v>
      </c>
      <c r="G298" s="109">
        <v>10000</v>
      </c>
    </row>
    <row r="299" spans="1:7" s="42" customFormat="1" ht="15" customHeight="1" x14ac:dyDescent="0.2">
      <c r="A299" s="108" t="s">
        <v>202</v>
      </c>
      <c r="B299" s="91"/>
      <c r="C299" s="82">
        <v>10000</v>
      </c>
      <c r="D299" s="128"/>
      <c r="E299" s="79">
        <f t="shared" si="9"/>
        <v>10000</v>
      </c>
      <c r="F299" s="125">
        <v>10000</v>
      </c>
      <c r="G299" s="109">
        <v>10000</v>
      </c>
    </row>
    <row r="300" spans="1:7" s="42" customFormat="1" ht="15" customHeight="1" x14ac:dyDescent="0.2">
      <c r="A300" s="108" t="s">
        <v>203</v>
      </c>
      <c r="B300" s="91"/>
      <c r="C300" s="82">
        <v>125400</v>
      </c>
      <c r="D300" s="128"/>
      <c r="E300" s="79"/>
      <c r="F300" s="125"/>
      <c r="G300" s="109">
        <v>300000</v>
      </c>
    </row>
    <row r="301" spans="1:7" s="42" customFormat="1" ht="30" customHeight="1" x14ac:dyDescent="0.2">
      <c r="A301" s="291" t="s">
        <v>401</v>
      </c>
      <c r="B301" s="91"/>
      <c r="C301" s="82">
        <v>213250</v>
      </c>
      <c r="D301" s="128">
        <v>248975</v>
      </c>
      <c r="E301" s="79">
        <f>+F301-D301</f>
        <v>451025</v>
      </c>
      <c r="F301" s="125">
        <v>700000</v>
      </c>
      <c r="G301" s="293">
        <v>700000</v>
      </c>
    </row>
    <row r="302" spans="1:7" s="42" customFormat="1" ht="54.95" customHeight="1" x14ac:dyDescent="0.2">
      <c r="A302" s="108" t="s">
        <v>385</v>
      </c>
      <c r="B302" s="91"/>
      <c r="C302" s="82">
        <v>829125</v>
      </c>
      <c r="D302" s="128"/>
      <c r="E302" s="79"/>
      <c r="F302" s="125"/>
      <c r="G302" s="109"/>
    </row>
    <row r="303" spans="1:7" s="42" customFormat="1" ht="15" customHeight="1" x14ac:dyDescent="0.2">
      <c r="A303" s="108" t="s">
        <v>204</v>
      </c>
      <c r="B303" s="91"/>
      <c r="C303" s="82">
        <v>51000</v>
      </c>
      <c r="D303" s="128"/>
      <c r="E303" s="79"/>
      <c r="F303" s="125"/>
      <c r="G303" s="109"/>
    </row>
    <row r="304" spans="1:7" s="42" customFormat="1" ht="15" customHeight="1" x14ac:dyDescent="0.2">
      <c r="A304" s="108" t="s">
        <v>205</v>
      </c>
      <c r="B304" s="91"/>
      <c r="C304" s="82">
        <v>65000</v>
      </c>
      <c r="D304" s="128"/>
      <c r="E304" s="79">
        <f>+F304-D304</f>
        <v>200000</v>
      </c>
      <c r="F304" s="125">
        <v>200000</v>
      </c>
      <c r="G304" s="109">
        <v>200000</v>
      </c>
    </row>
    <row r="305" spans="1:11" s="42" customFormat="1" ht="15" customHeight="1" x14ac:dyDescent="0.2">
      <c r="A305" s="108" t="s">
        <v>206</v>
      </c>
      <c r="B305" s="91"/>
      <c r="C305" s="82">
        <v>5004438.7</v>
      </c>
      <c r="D305" s="128"/>
      <c r="E305" s="79"/>
      <c r="F305" s="125"/>
      <c r="G305" s="109"/>
    </row>
    <row r="306" spans="1:11" s="42" customFormat="1" ht="15" customHeight="1" x14ac:dyDescent="0.2">
      <c r="A306" s="138" t="s">
        <v>207</v>
      </c>
      <c r="B306" s="97"/>
      <c r="C306" s="139"/>
      <c r="D306" s="140"/>
      <c r="E306" s="139"/>
      <c r="F306" s="140"/>
      <c r="G306" s="141"/>
    </row>
    <row r="307" spans="1:11" s="42" customFormat="1" ht="15" customHeight="1" x14ac:dyDescent="0.2">
      <c r="A307" s="179" t="s">
        <v>191</v>
      </c>
      <c r="B307" s="148"/>
      <c r="C307" s="101">
        <f>SUM(C284:C306)</f>
        <v>11772939.48</v>
      </c>
      <c r="D307" s="101">
        <f>SUM(D284:D306)</f>
        <v>1180235</v>
      </c>
      <c r="E307" s="101">
        <f>SUM(E284:E306)</f>
        <v>4779765</v>
      </c>
      <c r="F307" s="101">
        <f>SUM(F285:F306)</f>
        <v>5960000</v>
      </c>
      <c r="G307" s="101">
        <f>SUM(G285:G306)</f>
        <v>6760000</v>
      </c>
      <c r="H307" s="61">
        <f>SUM(G285:G306)</f>
        <v>6760000</v>
      </c>
      <c r="K307" s="57"/>
    </row>
    <row r="308" spans="1:11" s="42" customFormat="1" ht="15" customHeight="1" x14ac:dyDescent="0.2">
      <c r="A308" s="131" t="s">
        <v>208</v>
      </c>
      <c r="B308" s="150"/>
      <c r="C308" s="133"/>
      <c r="D308" s="134"/>
      <c r="E308" s="133"/>
      <c r="F308" s="134"/>
      <c r="G308" s="135"/>
    </row>
    <row r="309" spans="1:11" s="42" customFormat="1" ht="15" customHeight="1" x14ac:dyDescent="0.2">
      <c r="A309" s="114" t="s">
        <v>74</v>
      </c>
      <c r="B309" s="122"/>
      <c r="C309" s="81"/>
      <c r="D309" s="127"/>
      <c r="E309" s="81"/>
      <c r="F309" s="127"/>
      <c r="G309" s="115"/>
    </row>
    <row r="310" spans="1:11" s="42" customFormat="1" ht="45" customHeight="1" x14ac:dyDescent="0.2">
      <c r="A310" s="108" t="s">
        <v>209</v>
      </c>
      <c r="B310" s="91"/>
      <c r="C310" s="82">
        <v>1373500</v>
      </c>
      <c r="D310" s="128">
        <v>975000</v>
      </c>
      <c r="E310" s="79">
        <f>+F310-D310</f>
        <v>925000</v>
      </c>
      <c r="F310" s="125">
        <v>1900000</v>
      </c>
      <c r="G310" s="109">
        <v>1900000</v>
      </c>
    </row>
    <row r="311" spans="1:11" s="42" customFormat="1" ht="30" customHeight="1" x14ac:dyDescent="0.2">
      <c r="A311" s="114" t="s">
        <v>402</v>
      </c>
      <c r="B311" s="122"/>
      <c r="C311" s="81"/>
      <c r="D311" s="127"/>
      <c r="E311" s="79"/>
      <c r="F311" s="127"/>
      <c r="G311" s="115"/>
    </row>
    <row r="312" spans="1:11" s="42" customFormat="1" ht="140.25" x14ac:dyDescent="0.2">
      <c r="A312" s="295" t="s">
        <v>573</v>
      </c>
      <c r="B312" s="119"/>
      <c r="C312" s="83">
        <v>6294428.6799999997</v>
      </c>
      <c r="D312" s="129">
        <v>3406999.41</v>
      </c>
      <c r="E312" s="79">
        <f>+F312-D312</f>
        <v>4593000.59</v>
      </c>
      <c r="F312" s="89">
        <v>8000000</v>
      </c>
      <c r="G312" s="109">
        <v>30000000</v>
      </c>
    </row>
    <row r="313" spans="1:11" s="42" customFormat="1" ht="291" customHeight="1" x14ac:dyDescent="0.2">
      <c r="A313" s="108" t="s">
        <v>386</v>
      </c>
      <c r="B313" s="91"/>
      <c r="C313" s="83"/>
      <c r="D313" s="129"/>
      <c r="E313" s="79"/>
      <c r="F313" s="125"/>
      <c r="G313" s="109"/>
      <c r="H313" s="58"/>
      <c r="I313" s="59"/>
      <c r="J313" s="60"/>
    </row>
    <row r="314" spans="1:11" s="42" customFormat="1" ht="12.75" x14ac:dyDescent="0.2">
      <c r="A314" s="116" t="s">
        <v>191</v>
      </c>
      <c r="B314" s="121"/>
      <c r="C314" s="73">
        <f>SUM(C308:C313)</f>
        <v>7667928.6799999997</v>
      </c>
      <c r="D314" s="92">
        <f>SUM(D308:D313)</f>
        <v>4381999.41</v>
      </c>
      <c r="E314" s="73">
        <f>SUM(E308:E313)</f>
        <v>5518000.5899999999</v>
      </c>
      <c r="F314" s="92">
        <f>SUM(F310:F313)</f>
        <v>9900000</v>
      </c>
      <c r="G314" s="117">
        <f>SUM(G308:G313)</f>
        <v>31900000</v>
      </c>
      <c r="H314" s="61">
        <f>SUM(G312:G314)</f>
        <v>61900000</v>
      </c>
      <c r="K314" s="57"/>
    </row>
    <row r="315" spans="1:11" s="42" customFormat="1" ht="15" customHeight="1" x14ac:dyDescent="0.2">
      <c r="A315" s="104" t="s">
        <v>387</v>
      </c>
      <c r="B315" s="122"/>
      <c r="C315" s="77"/>
      <c r="D315" s="123"/>
      <c r="E315" s="77"/>
      <c r="F315" s="123"/>
      <c r="G315" s="105"/>
    </row>
    <row r="316" spans="1:11" s="42" customFormat="1" ht="15" customHeight="1" x14ac:dyDescent="0.2">
      <c r="A316" s="114" t="s">
        <v>211</v>
      </c>
      <c r="B316" s="122"/>
      <c r="C316" s="81"/>
      <c r="D316" s="127"/>
      <c r="E316" s="81"/>
      <c r="F316" s="127"/>
      <c r="G316" s="115"/>
    </row>
    <row r="317" spans="1:11" s="42" customFormat="1" ht="30" customHeight="1" x14ac:dyDescent="0.2">
      <c r="A317" s="108" t="s">
        <v>212</v>
      </c>
      <c r="B317" s="91"/>
      <c r="C317" s="82">
        <v>515673.5</v>
      </c>
      <c r="D317" s="128">
        <v>169319</v>
      </c>
      <c r="E317" s="79">
        <f>+F317-D317</f>
        <v>1330681</v>
      </c>
      <c r="F317" s="125">
        <v>1500000</v>
      </c>
      <c r="G317" s="109">
        <v>1500000</v>
      </c>
    </row>
    <row r="318" spans="1:11" s="42" customFormat="1" ht="15" customHeight="1" x14ac:dyDescent="0.2">
      <c r="A318" s="108" t="s">
        <v>213</v>
      </c>
      <c r="B318" s="91"/>
      <c r="C318" s="82">
        <v>124413.6</v>
      </c>
      <c r="D318" s="128">
        <v>21186.5</v>
      </c>
      <c r="E318" s="79">
        <f>+F318-D318</f>
        <v>278813.5</v>
      </c>
      <c r="F318" s="125">
        <v>300000</v>
      </c>
      <c r="G318" s="109">
        <v>300000</v>
      </c>
    </row>
    <row r="319" spans="1:11" s="42" customFormat="1" ht="45" customHeight="1" x14ac:dyDescent="0.2">
      <c r="A319" s="108" t="s">
        <v>217</v>
      </c>
      <c r="B319" s="91"/>
      <c r="C319" s="82">
        <v>187200</v>
      </c>
      <c r="D319" s="128">
        <v>91800</v>
      </c>
      <c r="E319" s="79">
        <f>+F319-D319</f>
        <v>208200</v>
      </c>
      <c r="F319" s="125">
        <v>300000</v>
      </c>
      <c r="G319" s="109">
        <v>300000</v>
      </c>
    </row>
    <row r="320" spans="1:11" s="42" customFormat="1" ht="15" customHeight="1" x14ac:dyDescent="0.2">
      <c r="A320" s="108" t="s">
        <v>214</v>
      </c>
      <c r="B320" s="91"/>
      <c r="C320" s="82">
        <v>5915600</v>
      </c>
      <c r="D320" s="128">
        <v>2496400</v>
      </c>
      <c r="E320" s="79">
        <f>+F320-D320</f>
        <v>3503600</v>
      </c>
      <c r="F320" s="125">
        <v>6000000</v>
      </c>
      <c r="G320" s="109">
        <v>6000000</v>
      </c>
    </row>
    <row r="321" spans="1:11" s="42" customFormat="1" ht="15" customHeight="1" x14ac:dyDescent="0.2">
      <c r="A321" s="108" t="s">
        <v>215</v>
      </c>
      <c r="B321" s="91"/>
      <c r="C321" s="82"/>
      <c r="D321" s="128"/>
      <c r="E321" s="79">
        <f>+F321-D321</f>
        <v>50000</v>
      </c>
      <c r="F321" s="125">
        <v>50000</v>
      </c>
      <c r="G321" s="109">
        <v>50000</v>
      </c>
    </row>
    <row r="322" spans="1:11" s="42" customFormat="1" ht="30" customHeight="1" x14ac:dyDescent="0.2">
      <c r="A322" s="138" t="s">
        <v>216</v>
      </c>
      <c r="B322" s="97"/>
      <c r="C322" s="177">
        <v>20301351.52</v>
      </c>
      <c r="D322" s="178"/>
      <c r="E322" s="139"/>
      <c r="F322" s="140"/>
      <c r="G322" s="141"/>
    </row>
    <row r="323" spans="1:11" s="42" customFormat="1" ht="15" customHeight="1" x14ac:dyDescent="0.2">
      <c r="A323" s="179" t="s">
        <v>191</v>
      </c>
      <c r="B323" s="148"/>
      <c r="C323" s="101">
        <f>SUM(C317:C322)</f>
        <v>27044238.619999997</v>
      </c>
      <c r="D323" s="101">
        <f>SUM(D317:D322)</f>
        <v>2778705.5</v>
      </c>
      <c r="E323" s="101">
        <f>SUM(E317:E322)</f>
        <v>5371294.5</v>
      </c>
      <c r="F323" s="101">
        <f>SUM(F317:F322)</f>
        <v>8150000</v>
      </c>
      <c r="G323" s="294">
        <f>SUM(G317:G322)</f>
        <v>8150000</v>
      </c>
      <c r="H323" s="61">
        <f>SUM(G317:G322)</f>
        <v>8150000</v>
      </c>
      <c r="K323" s="57"/>
    </row>
    <row r="324" spans="1:11" s="42" customFormat="1" ht="30" customHeight="1" x14ac:dyDescent="0.2">
      <c r="A324" s="131" t="s">
        <v>388</v>
      </c>
      <c r="B324" s="150"/>
      <c r="C324" s="133"/>
      <c r="D324" s="134"/>
      <c r="E324" s="133"/>
      <c r="F324" s="134"/>
      <c r="G324" s="135"/>
    </row>
    <row r="325" spans="1:11" s="42" customFormat="1" ht="30" customHeight="1" x14ac:dyDescent="0.2">
      <c r="A325" s="108" t="s">
        <v>218</v>
      </c>
      <c r="B325" s="91"/>
      <c r="C325" s="82">
        <v>1870000</v>
      </c>
      <c r="D325" s="128"/>
      <c r="E325" s="79"/>
      <c r="F325" s="130"/>
      <c r="G325" s="118"/>
    </row>
    <row r="326" spans="1:11" s="42" customFormat="1" ht="15" customHeight="1" x14ac:dyDescent="0.2">
      <c r="A326" s="108" t="s">
        <v>389</v>
      </c>
      <c r="B326" s="91"/>
      <c r="C326" s="82">
        <v>5532552.5300000003</v>
      </c>
      <c r="D326" s="128"/>
      <c r="E326" s="79"/>
      <c r="F326" s="125"/>
      <c r="G326" s="109"/>
    </row>
    <row r="327" spans="1:11" s="42" customFormat="1" ht="15" customHeight="1" x14ac:dyDescent="0.2">
      <c r="A327" s="108" t="s">
        <v>373</v>
      </c>
      <c r="B327" s="91"/>
      <c r="C327" s="82">
        <v>1864493.5</v>
      </c>
      <c r="D327" s="128"/>
      <c r="E327" s="79"/>
      <c r="F327" s="125"/>
      <c r="G327" s="109"/>
    </row>
    <row r="328" spans="1:11" s="42" customFormat="1" ht="15" customHeight="1" x14ac:dyDescent="0.2">
      <c r="A328" s="108" t="s">
        <v>375</v>
      </c>
      <c r="B328" s="91"/>
      <c r="C328" s="82">
        <v>7311000</v>
      </c>
      <c r="D328" s="128"/>
      <c r="E328" s="79"/>
      <c r="F328" s="125"/>
      <c r="G328" s="109"/>
    </row>
    <row r="329" spans="1:11" s="42" customFormat="1" ht="45" customHeight="1" x14ac:dyDescent="0.2">
      <c r="A329" s="108" t="s">
        <v>390</v>
      </c>
      <c r="B329" s="91"/>
      <c r="C329" s="82">
        <v>899080</v>
      </c>
      <c r="D329" s="128"/>
      <c r="E329" s="79"/>
      <c r="F329" s="125"/>
      <c r="G329" s="109"/>
    </row>
    <row r="330" spans="1:11" s="42" customFormat="1" ht="30" customHeight="1" x14ac:dyDescent="0.2">
      <c r="A330" s="108" t="s">
        <v>416</v>
      </c>
      <c r="B330" s="91"/>
      <c r="C330" s="82">
        <v>737500</v>
      </c>
      <c r="D330" s="128"/>
      <c r="E330" s="79">
        <f>+F330-D330</f>
        <v>300000</v>
      </c>
      <c r="F330" s="125">
        <v>300000</v>
      </c>
      <c r="G330" s="109">
        <v>300000</v>
      </c>
    </row>
    <row r="331" spans="1:11" s="42" customFormat="1" ht="30" customHeight="1" x14ac:dyDescent="0.2">
      <c r="A331" s="138" t="s">
        <v>391</v>
      </c>
      <c r="B331" s="97"/>
      <c r="C331" s="177">
        <v>1385058.57</v>
      </c>
      <c r="D331" s="178"/>
      <c r="E331" s="139"/>
      <c r="F331" s="140"/>
      <c r="G331" s="141"/>
    </row>
    <row r="332" spans="1:11" s="42" customFormat="1" ht="15" customHeight="1" x14ac:dyDescent="0.2">
      <c r="A332" s="179" t="s">
        <v>191</v>
      </c>
      <c r="B332" s="148"/>
      <c r="C332" s="101">
        <f>SUM(C324:C331)</f>
        <v>19599684.600000001</v>
      </c>
      <c r="D332" s="101">
        <f>SUM(D324:D331)</f>
        <v>0</v>
      </c>
      <c r="E332" s="101">
        <f>SUM(E324:E331)</f>
        <v>300000</v>
      </c>
      <c r="F332" s="101">
        <f>SUM(F324:F331)</f>
        <v>300000</v>
      </c>
      <c r="G332" s="294">
        <f>SUM(G330)</f>
        <v>300000</v>
      </c>
      <c r="H332" s="61">
        <f>SUM(G324:G331)</f>
        <v>300000</v>
      </c>
      <c r="K332" s="57"/>
    </row>
    <row r="333" spans="1:11" s="42" customFormat="1" ht="15" customHeight="1" x14ac:dyDescent="0.2">
      <c r="A333" s="131" t="s">
        <v>219</v>
      </c>
      <c r="B333" s="150"/>
      <c r="C333" s="133"/>
      <c r="D333" s="134"/>
      <c r="E333" s="133"/>
      <c r="F333" s="134"/>
      <c r="G333" s="135"/>
    </row>
    <row r="334" spans="1:11" s="42" customFormat="1" ht="15" customHeight="1" x14ac:dyDescent="0.2">
      <c r="A334" s="138" t="s">
        <v>220</v>
      </c>
      <c r="B334" s="97"/>
      <c r="C334" s="139"/>
      <c r="D334" s="140"/>
      <c r="E334" s="139"/>
      <c r="F334" s="140"/>
      <c r="G334" s="141"/>
    </row>
    <row r="335" spans="1:11" s="42" customFormat="1" ht="15" customHeight="1" x14ac:dyDescent="0.2">
      <c r="A335" s="179" t="s">
        <v>191</v>
      </c>
      <c r="B335" s="148"/>
      <c r="C335" s="101">
        <f>SUM(C334)</f>
        <v>0</v>
      </c>
      <c r="D335" s="101">
        <f>SUM(D334)</f>
        <v>0</v>
      </c>
      <c r="E335" s="101">
        <f>SUM(E334)</f>
        <v>0</v>
      </c>
      <c r="F335" s="101">
        <f>SUM(F334)</f>
        <v>0</v>
      </c>
      <c r="G335" s="101">
        <f>SUM(G334)</f>
        <v>0</v>
      </c>
      <c r="K335" s="57"/>
    </row>
    <row r="336" spans="1:11" s="42" customFormat="1" ht="15" customHeight="1" x14ac:dyDescent="0.2">
      <c r="A336" s="131" t="s">
        <v>221</v>
      </c>
      <c r="B336" s="150"/>
      <c r="C336" s="133"/>
      <c r="D336" s="134"/>
      <c r="E336" s="133"/>
      <c r="F336" s="134"/>
      <c r="G336" s="135"/>
    </row>
    <row r="337" spans="1:11" s="42" customFormat="1" ht="45" customHeight="1" x14ac:dyDescent="0.2">
      <c r="A337" s="138" t="s">
        <v>222</v>
      </c>
      <c r="B337" s="97"/>
      <c r="C337" s="177">
        <v>1291380</v>
      </c>
      <c r="D337" s="178"/>
      <c r="E337" s="139"/>
      <c r="F337" s="140"/>
      <c r="G337" s="141"/>
    </row>
    <row r="338" spans="1:11" s="42" customFormat="1" ht="15" customHeight="1" x14ac:dyDescent="0.2">
      <c r="A338" s="179" t="s">
        <v>191</v>
      </c>
      <c r="B338" s="148"/>
      <c r="C338" s="101">
        <f>SUM(C337)</f>
        <v>1291380</v>
      </c>
      <c r="D338" s="101">
        <f>SUM(D337)</f>
        <v>0</v>
      </c>
      <c r="E338" s="101">
        <f>SUM(E337)</f>
        <v>0</v>
      </c>
      <c r="F338" s="101">
        <f>SUM(F337)</f>
        <v>0</v>
      </c>
      <c r="G338" s="101">
        <f>SUM(G337)</f>
        <v>0</v>
      </c>
      <c r="K338" s="57"/>
    </row>
    <row r="339" spans="1:11" s="42" customFormat="1" ht="15" customHeight="1" x14ac:dyDescent="0.2">
      <c r="A339" s="131" t="s">
        <v>223</v>
      </c>
      <c r="B339" s="150"/>
      <c r="C339" s="133"/>
      <c r="D339" s="134"/>
      <c r="E339" s="133"/>
      <c r="F339" s="134"/>
      <c r="G339" s="135"/>
    </row>
    <row r="340" spans="1:11" s="42" customFormat="1" ht="30" customHeight="1" x14ac:dyDescent="0.2">
      <c r="A340" s="138" t="s">
        <v>417</v>
      </c>
      <c r="B340" s="97"/>
      <c r="C340" s="177"/>
      <c r="D340" s="140"/>
      <c r="E340" s="139"/>
      <c r="F340" s="140"/>
      <c r="G340" s="141"/>
    </row>
    <row r="341" spans="1:11" s="42" customFormat="1" ht="15" customHeight="1" x14ac:dyDescent="0.2">
      <c r="A341" s="179" t="s">
        <v>191</v>
      </c>
      <c r="B341" s="148"/>
      <c r="C341" s="101">
        <f>SUM(C340)</f>
        <v>0</v>
      </c>
      <c r="D341" s="101">
        <f>SUM(D340)</f>
        <v>0</v>
      </c>
      <c r="E341" s="101">
        <f>SUM(E340)</f>
        <v>0</v>
      </c>
      <c r="F341" s="101">
        <f>SUM(F340)</f>
        <v>0</v>
      </c>
      <c r="G341" s="101">
        <f>SUM(G340)</f>
        <v>0</v>
      </c>
      <c r="K341" s="57"/>
    </row>
    <row r="342" spans="1:11" s="42" customFormat="1" ht="15" customHeight="1" x14ac:dyDescent="0.2">
      <c r="A342" s="131" t="s">
        <v>224</v>
      </c>
      <c r="B342" s="150"/>
      <c r="C342" s="133"/>
      <c r="D342" s="134"/>
      <c r="E342" s="133"/>
      <c r="F342" s="134"/>
      <c r="G342" s="135"/>
    </row>
    <row r="343" spans="1:11" s="42" customFormat="1" ht="45" customHeight="1" x14ac:dyDescent="0.2">
      <c r="A343" s="108" t="s">
        <v>225</v>
      </c>
      <c r="B343" s="91"/>
      <c r="C343" s="79"/>
      <c r="D343" s="125"/>
      <c r="E343" s="79"/>
      <c r="F343" s="125"/>
      <c r="G343" s="109"/>
    </row>
    <row r="344" spans="1:11" s="42" customFormat="1" ht="30" customHeight="1" x14ac:dyDescent="0.2">
      <c r="A344" s="138" t="s">
        <v>234</v>
      </c>
      <c r="B344" s="97"/>
      <c r="C344" s="139"/>
      <c r="D344" s="140"/>
      <c r="E344" s="139"/>
      <c r="F344" s="140"/>
      <c r="G344" s="141"/>
    </row>
    <row r="345" spans="1:11" s="42" customFormat="1" ht="15" customHeight="1" x14ac:dyDescent="0.2">
      <c r="A345" s="179" t="s">
        <v>191</v>
      </c>
      <c r="B345" s="148"/>
      <c r="C345" s="101">
        <f>SUM(C343:C344)</f>
        <v>0</v>
      </c>
      <c r="D345" s="101">
        <f>SUM(D343:D344)</f>
        <v>0</v>
      </c>
      <c r="E345" s="101">
        <f>SUM(E343:E344)</f>
        <v>0</v>
      </c>
      <c r="F345" s="101">
        <f>SUM(F343:F344)</f>
        <v>0</v>
      </c>
      <c r="G345" s="101">
        <f>SUM(G343:G344)</f>
        <v>0</v>
      </c>
      <c r="K345" s="57"/>
    </row>
    <row r="346" spans="1:11" s="42" customFormat="1" ht="15" customHeight="1" x14ac:dyDescent="0.2">
      <c r="A346" s="131" t="s">
        <v>226</v>
      </c>
      <c r="B346" s="150"/>
      <c r="C346" s="133"/>
      <c r="D346" s="134"/>
      <c r="E346" s="133"/>
      <c r="F346" s="134"/>
      <c r="G346" s="135"/>
    </row>
    <row r="347" spans="1:11" s="42" customFormat="1" ht="15" customHeight="1" x14ac:dyDescent="0.2">
      <c r="A347" s="108" t="s">
        <v>227</v>
      </c>
      <c r="B347" s="91"/>
      <c r="C347" s="82">
        <v>388993.43</v>
      </c>
      <c r="D347" s="128"/>
      <c r="E347" s="79"/>
      <c r="F347" s="125"/>
      <c r="G347" s="109"/>
    </row>
    <row r="348" spans="1:11" s="42" customFormat="1" ht="30" customHeight="1" x14ac:dyDescent="0.2">
      <c r="A348" s="108" t="s">
        <v>450</v>
      </c>
      <c r="B348" s="91"/>
      <c r="C348" s="79">
        <v>4082087.24</v>
      </c>
      <c r="D348" s="125"/>
      <c r="E348" s="79"/>
      <c r="F348" s="125"/>
      <c r="G348" s="109"/>
    </row>
    <row r="349" spans="1:11" s="42" customFormat="1" ht="38.25" x14ac:dyDescent="0.2">
      <c r="A349" s="108" t="s">
        <v>451</v>
      </c>
      <c r="B349" s="91"/>
      <c r="C349" s="79"/>
      <c r="D349" s="125"/>
      <c r="E349" s="79"/>
      <c r="F349" s="125"/>
      <c r="G349" s="109"/>
    </row>
    <row r="350" spans="1:11" s="42" customFormat="1" ht="30" customHeight="1" x14ac:dyDescent="0.2">
      <c r="A350" s="108" t="s">
        <v>452</v>
      </c>
      <c r="B350" s="91"/>
      <c r="C350" s="79"/>
      <c r="D350" s="125"/>
      <c r="E350" s="79"/>
      <c r="F350" s="125"/>
      <c r="G350" s="109"/>
    </row>
    <row r="351" spans="1:11" s="42" customFormat="1" ht="30" customHeight="1" x14ac:dyDescent="0.2">
      <c r="A351" s="108" t="s">
        <v>453</v>
      </c>
      <c r="B351" s="91"/>
      <c r="C351" s="79">
        <v>12332466.550000001</v>
      </c>
      <c r="D351" s="125"/>
      <c r="E351" s="79"/>
      <c r="F351" s="125"/>
      <c r="G351" s="109"/>
    </row>
    <row r="352" spans="1:11" s="42" customFormat="1" ht="30" customHeight="1" x14ac:dyDescent="0.2">
      <c r="A352" s="138" t="s">
        <v>454</v>
      </c>
      <c r="B352" s="97"/>
      <c r="C352" s="139">
        <v>5000000</v>
      </c>
      <c r="D352" s="140"/>
      <c r="E352" s="139"/>
      <c r="F352" s="140"/>
      <c r="G352" s="141"/>
    </row>
    <row r="353" spans="1:13" s="42" customFormat="1" ht="15" customHeight="1" x14ac:dyDescent="0.2">
      <c r="A353" s="179" t="s">
        <v>191</v>
      </c>
      <c r="B353" s="100"/>
      <c r="C353" s="101">
        <f>SUM(C347:C352)</f>
        <v>21803547.219999999</v>
      </c>
      <c r="D353" s="101">
        <f>SUM(D347:D352)</f>
        <v>0</v>
      </c>
      <c r="E353" s="101">
        <f>SUM(E347:E352)</f>
        <v>0</v>
      </c>
      <c r="F353" s="101">
        <f>SUM(F347:F352)</f>
        <v>0</v>
      </c>
      <c r="G353" s="101">
        <f>SUM(G347:G352)</f>
        <v>0</v>
      </c>
      <c r="H353" s="61">
        <f>SUM(G277:G353)</f>
        <v>100220000</v>
      </c>
      <c r="K353" s="57"/>
    </row>
    <row r="354" spans="1:13" s="42" customFormat="1" ht="15" customHeight="1" x14ac:dyDescent="0.2">
      <c r="A354" s="174" t="s">
        <v>392</v>
      </c>
      <c r="B354" s="180"/>
      <c r="C354" s="181">
        <f>C276+C282+C307+C314+C323+C332+C335+C338+C341+C345+C353</f>
        <v>99012028.409999996</v>
      </c>
      <c r="D354" s="181">
        <f>D276+D282+D307+D314+D323+D332+D335+D338+D341+D345+D353</f>
        <v>83797290.459999993</v>
      </c>
      <c r="E354" s="181">
        <f>E276+E282+E307+E314+E323+E332+E335+E338+E341+E345+E353</f>
        <v>225687710.10199979</v>
      </c>
      <c r="F354" s="181">
        <f>F276+F282+F307+F314+F323+F332+F335+F338+F341+F345+F353</f>
        <v>309485000.5619998</v>
      </c>
      <c r="G354" s="181">
        <f>G276+G282+G307+G314+G323+G332+G335+G338+G341+G345+G353</f>
        <v>533639750</v>
      </c>
      <c r="H354" s="42">
        <v>309506840.56</v>
      </c>
      <c r="I354" s="61">
        <f>+H354-F354</f>
        <v>21839.998000204563</v>
      </c>
    </row>
    <row r="355" spans="1:13" s="42" customFormat="1" ht="15" customHeight="1" x14ac:dyDescent="0.2">
      <c r="A355" s="182" t="s">
        <v>229</v>
      </c>
      <c r="B355" s="183"/>
      <c r="C355" s="184"/>
      <c r="D355" s="184">
        <v>51271731.469999999</v>
      </c>
      <c r="E355" s="184">
        <f>+F355-D355</f>
        <v>118220605.39000002</v>
      </c>
      <c r="F355" s="184">
        <v>169492336.86000001</v>
      </c>
      <c r="G355" s="184"/>
    </row>
    <row r="356" spans="1:13" s="42" customFormat="1" ht="15" customHeight="1" x14ac:dyDescent="0.2">
      <c r="A356" s="182" t="s">
        <v>230</v>
      </c>
      <c r="B356" s="183"/>
      <c r="C356" s="184">
        <v>41004721.93</v>
      </c>
      <c r="D356" s="184">
        <v>18253440.739999998</v>
      </c>
      <c r="E356" s="184">
        <f>+F356-D356</f>
        <v>36731612.030000001</v>
      </c>
      <c r="F356" s="184">
        <v>54985052.770000003</v>
      </c>
      <c r="G356" s="184"/>
    </row>
    <row r="357" spans="1:13" s="42" customFormat="1" ht="15" customHeight="1" x14ac:dyDescent="0.2">
      <c r="A357" s="174" t="s">
        <v>113</v>
      </c>
      <c r="B357" s="180"/>
      <c r="C357" s="181">
        <f>SUM(C354:C356)</f>
        <v>140016750.34</v>
      </c>
      <c r="D357" s="181">
        <f>SUM(D354:D356)</f>
        <v>153322462.67000002</v>
      </c>
      <c r="E357" s="181">
        <f>SUM(E354:E356)</f>
        <v>380639927.52199984</v>
      </c>
      <c r="F357" s="181">
        <f>SUM(F354:F356)</f>
        <v>533962390.19199979</v>
      </c>
      <c r="G357" s="181">
        <f>SUM(G354:G356)</f>
        <v>533639750</v>
      </c>
      <c r="I357" s="62"/>
    </row>
    <row r="358" spans="1:13" x14ac:dyDescent="0.25">
      <c r="F358" s="46"/>
    </row>
    <row r="361" spans="1:13" x14ac:dyDescent="0.25">
      <c r="H361" s="46">
        <f>SUM(C355:C356)</f>
        <v>41004721.93</v>
      </c>
      <c r="I361" s="46">
        <f>SUM(D355:D356)</f>
        <v>69525172.209999993</v>
      </c>
      <c r="J361" s="46">
        <f>SUM(E355:E356)</f>
        <v>154952217.42000002</v>
      </c>
      <c r="K361" s="46">
        <f>SUM(F355:F356)</f>
        <v>224477389.63000003</v>
      </c>
      <c r="L361" s="46">
        <f>SUM(G355:G356)</f>
        <v>0</v>
      </c>
      <c r="M361" s="46"/>
    </row>
  </sheetData>
  <mergeCells count="9">
    <mergeCell ref="A1:G1"/>
    <mergeCell ref="A2:G2"/>
    <mergeCell ref="A3:G3"/>
    <mergeCell ref="A4:G4"/>
    <mergeCell ref="A6:A8"/>
    <mergeCell ref="B6:B8"/>
    <mergeCell ref="C6:C8"/>
    <mergeCell ref="D6:F7"/>
    <mergeCell ref="G6:G8"/>
  </mergeCells>
  <printOptions horizontalCentered="1"/>
  <pageMargins left="0.23622047244094499" right="0.23622047244094499" top="0.49803149600000002" bottom="0.74803149606299202" header="0.31496062992126" footer="0.31496062992126"/>
  <pageSetup paperSize="10000" scale="79" firstPageNumber="198" fitToHeight="0" orientation="portrait" horizontalDpi="360" verticalDpi="360" r:id="rId1"/>
  <headerFooter scaleWithDoc="0">
    <oddFooter>&amp;C&amp;"Candara,Bold"&amp;10&amp;P&amp;"Candara,Regular" &amp;"Candara,Bold"&amp;K000000|&amp;"Candara,Regular"&amp;K00-047 P a g 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06"/>
  <sheetViews>
    <sheetView showWhiteSpace="0" topLeftCell="A301" zoomScale="130" zoomScaleNormal="130" zoomScaleSheetLayoutView="130" workbookViewId="0">
      <selection activeCell="F308" sqref="F308"/>
    </sheetView>
  </sheetViews>
  <sheetFormatPr defaultColWidth="7.5703125" defaultRowHeight="15" x14ac:dyDescent="0.25"/>
  <cols>
    <col min="1" max="1" width="20.140625" style="946" customWidth="1"/>
    <col min="2" max="2" width="45.7109375" style="41" customWidth="1"/>
    <col min="3" max="3" width="16.7109375" style="41" bestFit="1" customWidth="1"/>
    <col min="4" max="4" width="15.7109375" style="41" customWidth="1"/>
    <col min="5" max="5" width="17" style="41" bestFit="1" customWidth="1"/>
    <col min="6" max="6" width="17.28515625" style="41" bestFit="1" customWidth="1"/>
    <col min="7" max="7" width="18.28515625" style="41" customWidth="1"/>
    <col min="8" max="8" width="60.140625" style="41" customWidth="1"/>
    <col min="9" max="9" width="17.5703125" style="41" customWidth="1"/>
    <col min="10" max="10" width="15.28515625" style="41" bestFit="1" customWidth="1"/>
    <col min="11" max="11" width="16" style="41" bestFit="1" customWidth="1"/>
    <col min="12" max="16384" width="7.5703125" style="41"/>
  </cols>
  <sheetData>
    <row r="1" spans="1:12" ht="15" customHeight="1" x14ac:dyDescent="0.25">
      <c r="A1" s="1101" t="s">
        <v>986</v>
      </c>
      <c r="B1" s="1101"/>
      <c r="C1" s="1101"/>
      <c r="D1" s="1101"/>
      <c r="E1" s="1101"/>
      <c r="F1" s="1101"/>
    </row>
    <row r="2" spans="1:12" ht="18.75" customHeight="1" x14ac:dyDescent="0.3">
      <c r="A2" s="1072" t="s">
        <v>985</v>
      </c>
      <c r="B2" s="1072"/>
      <c r="C2" s="1072"/>
      <c r="D2" s="1072"/>
      <c r="E2" s="1072"/>
      <c r="F2" s="1072"/>
    </row>
    <row r="3" spans="1:12" ht="15.75" customHeight="1" x14ac:dyDescent="0.25">
      <c r="A3" s="1073" t="s">
        <v>233</v>
      </c>
      <c r="B3" s="1073"/>
      <c r="C3" s="1073"/>
      <c r="D3" s="1073"/>
      <c r="E3" s="1073"/>
      <c r="F3" s="1073"/>
    </row>
    <row r="4" spans="1:12" ht="15" customHeight="1" x14ac:dyDescent="0.25">
      <c r="A4" s="1074" t="s">
        <v>189</v>
      </c>
      <c r="B4" s="1074"/>
      <c r="C4" s="1074"/>
      <c r="D4" s="1074"/>
      <c r="E4" s="1074"/>
      <c r="F4" s="1074"/>
    </row>
    <row r="5" spans="1:12" x14ac:dyDescent="0.25">
      <c r="A5" s="933"/>
      <c r="B5" s="42"/>
      <c r="C5" s="42"/>
      <c r="D5" s="42"/>
      <c r="E5" s="42"/>
      <c r="F5" s="42"/>
    </row>
    <row r="6" spans="1:12" s="43" customFormat="1" ht="12" x14ac:dyDescent="0.2">
      <c r="A6" s="1076" t="s">
        <v>987</v>
      </c>
      <c r="B6" s="1099" t="s">
        <v>1</v>
      </c>
      <c r="C6" s="1102" t="s">
        <v>310</v>
      </c>
      <c r="D6" s="1100" t="s">
        <v>307</v>
      </c>
      <c r="E6" s="1103"/>
      <c r="F6" s="1099" t="s">
        <v>311</v>
      </c>
      <c r="G6" s="358"/>
      <c r="H6" s="358"/>
      <c r="I6" s="358"/>
      <c r="J6" s="358"/>
      <c r="K6" s="358"/>
      <c r="L6" s="358"/>
    </row>
    <row r="7" spans="1:12" s="43" customFormat="1" ht="18.75" customHeight="1" x14ac:dyDescent="0.2">
      <c r="A7" s="1076"/>
      <c r="B7" s="1099"/>
      <c r="C7" s="1102"/>
      <c r="D7" s="1100"/>
      <c r="E7" s="1103"/>
      <c r="F7" s="1099"/>
      <c r="G7" s="358"/>
      <c r="H7" s="358"/>
      <c r="I7" s="358"/>
      <c r="J7" s="358"/>
      <c r="K7" s="358"/>
      <c r="L7" s="358"/>
    </row>
    <row r="8" spans="1:12" s="43" customFormat="1" ht="24" x14ac:dyDescent="0.2">
      <c r="A8" s="1076"/>
      <c r="B8" s="1099"/>
      <c r="C8" s="1102"/>
      <c r="D8" s="359" t="s">
        <v>308</v>
      </c>
      <c r="E8" s="859" t="s">
        <v>309</v>
      </c>
      <c r="F8" s="1099"/>
      <c r="G8" s="358"/>
      <c r="H8" s="456" t="s">
        <v>660</v>
      </c>
      <c r="I8" s="358"/>
      <c r="J8" s="358"/>
      <c r="K8" s="358"/>
      <c r="L8" s="358"/>
    </row>
    <row r="9" spans="1:12" s="70" customFormat="1" ht="11.25" x14ac:dyDescent="0.25">
      <c r="A9" s="951">
        <v>1</v>
      </c>
      <c r="B9" s="360">
        <v>2</v>
      </c>
      <c r="C9" s="880">
        <v>3</v>
      </c>
      <c r="D9" s="360">
        <v>4</v>
      </c>
      <c r="E9" s="860">
        <v>5</v>
      </c>
      <c r="F9" s="360">
        <v>6</v>
      </c>
      <c r="G9" s="423"/>
      <c r="H9" s="361"/>
      <c r="I9" s="361"/>
      <c r="J9" s="361"/>
      <c r="K9" s="361"/>
      <c r="L9" s="361"/>
    </row>
    <row r="10" spans="1:12" s="43" customFormat="1" x14ac:dyDescent="0.25">
      <c r="A10" s="952"/>
      <c r="B10" s="457" t="s">
        <v>1122</v>
      </c>
      <c r="C10" s="873"/>
      <c r="D10" s="458"/>
      <c r="E10" s="873"/>
      <c r="F10" s="458"/>
      <c r="G10" s="358"/>
      <c r="H10" s="358"/>
      <c r="I10" s="358"/>
      <c r="J10" s="358"/>
      <c r="K10" s="358"/>
      <c r="L10" s="358"/>
    </row>
    <row r="11" spans="1:12" ht="30" customHeight="1" x14ac:dyDescent="0.25">
      <c r="A11" s="953" t="s">
        <v>1022</v>
      </c>
      <c r="B11" s="892" t="s">
        <v>1005</v>
      </c>
      <c r="C11" s="485"/>
      <c r="D11" s="469"/>
      <c r="E11" s="485"/>
      <c r="F11" s="926"/>
      <c r="G11" s="16"/>
      <c r="H11" s="16"/>
      <c r="I11" s="16"/>
      <c r="J11" s="16"/>
      <c r="K11" s="16"/>
      <c r="L11" s="16"/>
    </row>
    <row r="12" spans="1:12" ht="15" customHeight="1" x14ac:dyDescent="0.25">
      <c r="A12" s="970" t="s">
        <v>1023</v>
      </c>
      <c r="B12" s="971" t="s">
        <v>168</v>
      </c>
      <c r="C12" s="972">
        <v>7066786.7599999998</v>
      </c>
      <c r="D12" s="973">
        <v>2989995</v>
      </c>
      <c r="E12" s="972">
        <v>14010005</v>
      </c>
      <c r="F12" s="973">
        <v>17000000</v>
      </c>
      <c r="G12" s="16" t="s">
        <v>774</v>
      </c>
      <c r="H12" s="777" t="s">
        <v>851</v>
      </c>
      <c r="I12" s="371">
        <f>SUM(D12:E12)</f>
        <v>17000000</v>
      </c>
      <c r="J12" s="16"/>
      <c r="K12" s="16"/>
      <c r="L12" s="16"/>
    </row>
    <row r="13" spans="1:12" ht="15" customHeight="1" x14ac:dyDescent="0.25">
      <c r="A13" s="974"/>
      <c r="B13" s="971" t="s">
        <v>978</v>
      </c>
      <c r="C13" s="972"/>
      <c r="D13" s="973"/>
      <c r="E13" s="972"/>
      <c r="F13" s="973"/>
      <c r="G13" s="16"/>
      <c r="H13" s="777"/>
      <c r="I13" s="371"/>
      <c r="J13" s="16"/>
      <c r="K13" s="16"/>
      <c r="L13" s="16"/>
    </row>
    <row r="14" spans="1:12" ht="15" customHeight="1" x14ac:dyDescent="0.25">
      <c r="A14" s="970" t="s">
        <v>1024</v>
      </c>
      <c r="B14" s="971" t="s">
        <v>577</v>
      </c>
      <c r="C14" s="972">
        <v>2838598.5</v>
      </c>
      <c r="D14" s="973">
        <v>1125500</v>
      </c>
      <c r="E14" s="972">
        <v>3874500</v>
      </c>
      <c r="F14" s="973">
        <v>6000000</v>
      </c>
      <c r="G14" s="16" t="s">
        <v>774</v>
      </c>
      <c r="H14" s="16"/>
      <c r="I14" s="371">
        <f>SUM(D14:E14)</f>
        <v>5000000</v>
      </c>
      <c r="J14" s="16"/>
      <c r="K14" s="16"/>
      <c r="L14" s="16"/>
    </row>
    <row r="15" spans="1:12" ht="15" customHeight="1" x14ac:dyDescent="0.25">
      <c r="A15" s="970" t="s">
        <v>1025</v>
      </c>
      <c r="B15" s="975" t="s">
        <v>80</v>
      </c>
      <c r="C15" s="972">
        <v>7595015</v>
      </c>
      <c r="D15" s="973">
        <v>5028110</v>
      </c>
      <c r="E15" s="972">
        <v>3300770</v>
      </c>
      <c r="F15" s="973">
        <v>9328880</v>
      </c>
      <c r="G15" s="438">
        <v>8471920</v>
      </c>
      <c r="H15" s="16"/>
      <c r="I15" s="371">
        <f>SUM(D15:E15)</f>
        <v>8328880</v>
      </c>
      <c r="J15" s="16"/>
      <c r="K15" s="16"/>
      <c r="L15" s="16"/>
    </row>
    <row r="16" spans="1:12" ht="15" customHeight="1" x14ac:dyDescent="0.25">
      <c r="A16" s="974"/>
      <c r="B16" s="975" t="s">
        <v>1117</v>
      </c>
      <c r="C16" s="972"/>
      <c r="D16" s="973"/>
      <c r="E16" s="972"/>
      <c r="F16" s="1044">
        <v>229185</v>
      </c>
      <c r="G16" s="438">
        <f>SUM(F14:F19)</f>
        <v>16395665</v>
      </c>
      <c r="H16" s="16"/>
      <c r="I16" s="371"/>
      <c r="J16" s="16"/>
      <c r="K16" s="16"/>
      <c r="L16" s="16"/>
    </row>
    <row r="17" spans="1:15" ht="15" customHeight="1" x14ac:dyDescent="0.25">
      <c r="A17" s="932"/>
      <c r="B17" s="894" t="s">
        <v>901</v>
      </c>
      <c r="C17" s="485"/>
      <c r="D17" s="469"/>
      <c r="E17" s="485"/>
      <c r="F17" s="469">
        <v>343200</v>
      </c>
      <c r="G17" s="438">
        <f>SUM(F15:F20)</f>
        <v>10671665</v>
      </c>
      <c r="H17" s="16"/>
      <c r="I17" s="371"/>
      <c r="J17" s="16"/>
      <c r="K17" s="16"/>
      <c r="L17" s="16"/>
    </row>
    <row r="18" spans="1:15" x14ac:dyDescent="0.25">
      <c r="A18" s="932"/>
      <c r="B18" s="894" t="s">
        <v>908</v>
      </c>
      <c r="C18" s="485"/>
      <c r="D18" s="469"/>
      <c r="E18" s="485"/>
      <c r="F18" s="469">
        <v>369600</v>
      </c>
      <c r="G18" s="438"/>
      <c r="H18" s="16"/>
      <c r="I18" s="371"/>
      <c r="J18" s="16"/>
      <c r="K18" s="16"/>
      <c r="L18" s="16"/>
    </row>
    <row r="19" spans="1:15" ht="15" customHeight="1" x14ac:dyDescent="0.25">
      <c r="A19" s="932"/>
      <c r="B19" s="894" t="s">
        <v>902</v>
      </c>
      <c r="C19" s="485"/>
      <c r="D19" s="469"/>
      <c r="E19" s="485"/>
      <c r="F19" s="469">
        <v>124800</v>
      </c>
      <c r="G19" s="973"/>
      <c r="H19" s="16"/>
      <c r="I19" s="371"/>
      <c r="J19" s="16"/>
      <c r="K19" s="16"/>
      <c r="L19" s="16"/>
    </row>
    <row r="20" spans="1:15" ht="15" customHeight="1" x14ac:dyDescent="0.25">
      <c r="A20" s="932"/>
      <c r="B20" s="894" t="s">
        <v>718</v>
      </c>
      <c r="C20" s="485"/>
      <c r="D20" s="469"/>
      <c r="E20" s="485"/>
      <c r="F20" s="469">
        <v>276000</v>
      </c>
      <c r="G20" s="438"/>
      <c r="H20" s="16"/>
      <c r="I20" s="371"/>
      <c r="J20" s="16"/>
      <c r="K20" s="16"/>
      <c r="L20" s="16"/>
    </row>
    <row r="21" spans="1:15" ht="15" customHeight="1" x14ac:dyDescent="0.25">
      <c r="A21" s="950" t="s">
        <v>1026</v>
      </c>
      <c r="B21" s="894" t="s">
        <v>355</v>
      </c>
      <c r="C21" s="485"/>
      <c r="D21" s="469"/>
      <c r="E21" s="485">
        <v>400000</v>
      </c>
      <c r="F21" s="469">
        <v>400000</v>
      </c>
      <c r="G21" s="16"/>
      <c r="H21" s="16"/>
      <c r="I21" s="371">
        <f>SUM(D21:E21)</f>
        <v>400000</v>
      </c>
      <c r="J21" s="16"/>
      <c r="K21" s="16"/>
      <c r="L21" s="16"/>
    </row>
    <row r="22" spans="1:15" ht="15" customHeight="1" x14ac:dyDescent="0.25">
      <c r="A22" s="950" t="s">
        <v>1027</v>
      </c>
      <c r="B22" s="894" t="s">
        <v>48</v>
      </c>
      <c r="C22" s="485"/>
      <c r="D22" s="469"/>
      <c r="E22" s="485">
        <v>500000</v>
      </c>
      <c r="F22" s="469">
        <v>500000</v>
      </c>
      <c r="G22" s="16"/>
      <c r="H22" s="16"/>
      <c r="I22" s="371">
        <f>SUM(D22:E22)</f>
        <v>500000</v>
      </c>
      <c r="J22" s="16"/>
      <c r="K22" s="16"/>
      <c r="L22" s="16"/>
    </row>
    <row r="23" spans="1:15" ht="15" customHeight="1" x14ac:dyDescent="0.25">
      <c r="A23" s="932"/>
      <c r="B23" s="894" t="s">
        <v>859</v>
      </c>
      <c r="C23" s="485"/>
      <c r="D23" s="469"/>
      <c r="E23" s="485"/>
      <c r="F23" s="469"/>
      <c r="G23" s="16"/>
      <c r="H23" s="16"/>
      <c r="I23" s="371"/>
      <c r="J23" s="16"/>
      <c r="K23" s="16"/>
      <c r="L23" s="16"/>
    </row>
    <row r="24" spans="1:15" ht="15" customHeight="1" x14ac:dyDescent="0.25">
      <c r="A24" s="954" t="s">
        <v>1028</v>
      </c>
      <c r="B24" s="894" t="s">
        <v>139</v>
      </c>
      <c r="C24" s="485"/>
      <c r="D24" s="469"/>
      <c r="E24" s="485"/>
      <c r="F24" s="469"/>
      <c r="G24" s="16"/>
      <c r="H24" s="16"/>
      <c r="I24" s="371">
        <f>SUM(D24:E24)</f>
        <v>0</v>
      </c>
      <c r="J24" s="16"/>
      <c r="K24" s="16"/>
      <c r="L24" s="16"/>
    </row>
    <row r="25" spans="1:15" ht="15" customHeight="1" x14ac:dyDescent="0.25">
      <c r="A25" s="950"/>
      <c r="B25" s="894" t="s">
        <v>531</v>
      </c>
      <c r="C25" s="485">
        <v>150000</v>
      </c>
      <c r="D25" s="469"/>
      <c r="E25" s="485">
        <v>200000</v>
      </c>
      <c r="F25" s="469">
        <v>200000</v>
      </c>
      <c r="G25" s="16"/>
      <c r="H25" s="16"/>
      <c r="I25" s="371"/>
      <c r="J25" s="16"/>
      <c r="K25" s="16"/>
      <c r="L25" s="16"/>
    </row>
    <row r="26" spans="1:15" ht="15" customHeight="1" x14ac:dyDescent="0.25">
      <c r="A26" s="950" t="s">
        <v>1029</v>
      </c>
      <c r="B26" s="894" t="s">
        <v>41</v>
      </c>
      <c r="C26" s="485">
        <v>2099000</v>
      </c>
      <c r="D26" s="469">
        <v>0</v>
      </c>
      <c r="E26" s="485">
        <v>5000000</v>
      </c>
      <c r="F26" s="1045">
        <f>5000000-78981</f>
        <v>4921019</v>
      </c>
      <c r="G26" s="409" t="s">
        <v>915</v>
      </c>
      <c r="H26" s="16"/>
      <c r="I26" s="371">
        <f t="shared" ref="I26:I31" si="0">SUM(D26:E26)</f>
        <v>5000000</v>
      </c>
      <c r="J26" s="16"/>
      <c r="K26" s="16"/>
      <c r="L26" s="16"/>
      <c r="O26" s="41" t="s">
        <v>610</v>
      </c>
    </row>
    <row r="27" spans="1:15" ht="15" customHeight="1" x14ac:dyDescent="0.25">
      <c r="A27" s="932"/>
      <c r="B27" s="894" t="s">
        <v>53</v>
      </c>
      <c r="C27" s="485">
        <v>2127930.0299999998</v>
      </c>
      <c r="D27" s="469">
        <v>1028827.08</v>
      </c>
      <c r="E27" s="485">
        <v>5471172.9199999999</v>
      </c>
      <c r="F27" s="469">
        <v>6500000</v>
      </c>
      <c r="G27" s="16"/>
      <c r="H27" s="16"/>
      <c r="I27" s="371">
        <f t="shared" si="0"/>
        <v>6500000</v>
      </c>
      <c r="J27" s="16"/>
      <c r="K27" s="16"/>
      <c r="L27" s="16"/>
    </row>
    <row r="28" spans="1:15" ht="15" customHeight="1" x14ac:dyDescent="0.25">
      <c r="A28" s="932"/>
      <c r="B28" s="894" t="s">
        <v>56</v>
      </c>
      <c r="C28" s="485"/>
      <c r="D28" s="469"/>
      <c r="E28" s="485"/>
      <c r="F28" s="469"/>
      <c r="G28" s="16"/>
      <c r="H28" s="16"/>
      <c r="I28" s="371">
        <f t="shared" si="0"/>
        <v>0</v>
      </c>
      <c r="J28" s="16"/>
      <c r="K28" s="16"/>
      <c r="L28" s="16"/>
    </row>
    <row r="29" spans="1:15" ht="15" customHeight="1" x14ac:dyDescent="0.25">
      <c r="A29" s="932"/>
      <c r="B29" s="894" t="s">
        <v>336</v>
      </c>
      <c r="C29" s="485"/>
      <c r="D29" s="469">
        <v>89860</v>
      </c>
      <c r="E29" s="485"/>
      <c r="F29" s="469">
        <v>3500000</v>
      </c>
      <c r="G29" s="16"/>
      <c r="H29" s="16"/>
      <c r="I29" s="371">
        <f t="shared" si="0"/>
        <v>89860</v>
      </c>
      <c r="J29" s="16"/>
      <c r="K29" s="16"/>
      <c r="L29" s="16"/>
    </row>
    <row r="30" spans="1:15" ht="15" customHeight="1" x14ac:dyDescent="0.25">
      <c r="A30" s="950" t="s">
        <v>1030</v>
      </c>
      <c r="B30" s="894" t="s">
        <v>118</v>
      </c>
      <c r="C30" s="485">
        <v>176217.5</v>
      </c>
      <c r="D30" s="469">
        <v>87038</v>
      </c>
      <c r="E30" s="485">
        <v>262962</v>
      </c>
      <c r="F30" s="469">
        <v>350000</v>
      </c>
      <c r="G30" s="16"/>
      <c r="H30" s="16"/>
      <c r="I30" s="371">
        <f t="shared" si="0"/>
        <v>350000</v>
      </c>
      <c r="J30" s="16"/>
      <c r="K30" s="16"/>
      <c r="L30" s="16"/>
    </row>
    <row r="31" spans="1:15" ht="15" customHeight="1" x14ac:dyDescent="0.25">
      <c r="A31" s="955" t="s">
        <v>1031</v>
      </c>
      <c r="B31" s="896" t="s">
        <v>42</v>
      </c>
      <c r="C31" s="485">
        <v>2804573.66</v>
      </c>
      <c r="D31" s="469">
        <v>308940</v>
      </c>
      <c r="E31" s="485">
        <v>391060</v>
      </c>
      <c r="F31" s="469">
        <v>750000</v>
      </c>
      <c r="G31" s="16"/>
      <c r="H31" s="16"/>
      <c r="I31" s="371">
        <f t="shared" si="0"/>
        <v>700000</v>
      </c>
      <c r="J31" s="16"/>
      <c r="K31" s="16"/>
      <c r="L31" s="16"/>
    </row>
    <row r="32" spans="1:15" ht="15" customHeight="1" x14ac:dyDescent="0.25">
      <c r="A32" s="932"/>
      <c r="B32" s="894" t="s">
        <v>719</v>
      </c>
      <c r="C32" s="485"/>
      <c r="D32" s="469"/>
      <c r="E32" s="485">
        <v>120000</v>
      </c>
      <c r="F32" s="469"/>
      <c r="G32" s="483"/>
      <c r="H32" s="483"/>
      <c r="I32" s="371"/>
      <c r="J32" s="16"/>
      <c r="K32" s="16"/>
      <c r="L32" s="16"/>
    </row>
    <row r="33" spans="1:12" ht="15" customHeight="1" x14ac:dyDescent="0.25">
      <c r="A33" s="932"/>
      <c r="B33" s="894" t="s">
        <v>720</v>
      </c>
      <c r="C33" s="485"/>
      <c r="D33" s="469"/>
      <c r="E33" s="485">
        <v>130000</v>
      </c>
      <c r="F33" s="469"/>
      <c r="G33" s="483"/>
      <c r="H33" s="483"/>
      <c r="I33" s="371"/>
      <c r="J33" s="16"/>
      <c r="K33" s="16"/>
      <c r="L33" s="16"/>
    </row>
    <row r="34" spans="1:12" ht="15" customHeight="1" x14ac:dyDescent="0.25">
      <c r="A34" s="932"/>
      <c r="B34" s="894" t="s">
        <v>301</v>
      </c>
      <c r="C34" s="485"/>
      <c r="D34" s="469"/>
      <c r="E34" s="485"/>
      <c r="F34" s="469"/>
      <c r="G34" s="483"/>
      <c r="H34" s="483"/>
      <c r="I34" s="371"/>
      <c r="J34" s="16"/>
      <c r="K34" s="16"/>
      <c r="L34" s="16"/>
    </row>
    <row r="35" spans="1:12" ht="15" customHeight="1" x14ac:dyDescent="0.25">
      <c r="A35" s="932"/>
      <c r="B35" s="894" t="s">
        <v>537</v>
      </c>
      <c r="C35" s="485"/>
      <c r="D35" s="469"/>
      <c r="E35" s="485">
        <v>900000</v>
      </c>
      <c r="F35" s="469"/>
      <c r="G35" s="483"/>
      <c r="H35" s="483"/>
      <c r="I35" s="371"/>
      <c r="J35" s="16"/>
      <c r="K35" s="16"/>
      <c r="L35" s="16"/>
    </row>
    <row r="36" spans="1:12" x14ac:dyDescent="0.25">
      <c r="A36" s="932"/>
      <c r="B36" s="894" t="s">
        <v>721</v>
      </c>
      <c r="C36" s="485"/>
      <c r="D36" s="469">
        <v>95400</v>
      </c>
      <c r="E36" s="485">
        <v>404600</v>
      </c>
      <c r="F36" s="469"/>
      <c r="G36" s="483"/>
      <c r="H36" s="483"/>
      <c r="I36" s="371"/>
      <c r="J36" s="16"/>
      <c r="K36" s="16"/>
      <c r="L36" s="16"/>
    </row>
    <row r="37" spans="1:12" ht="15" customHeight="1" x14ac:dyDescent="0.25">
      <c r="A37" s="932"/>
      <c r="B37" s="894" t="s">
        <v>538</v>
      </c>
      <c r="C37" s="485"/>
      <c r="D37" s="469"/>
      <c r="E37" s="485">
        <v>36000</v>
      </c>
      <c r="F37" s="469"/>
      <c r="G37" s="483"/>
      <c r="H37" s="483"/>
      <c r="I37" s="371"/>
      <c r="J37" s="16"/>
      <c r="K37" s="16"/>
      <c r="L37" s="16"/>
    </row>
    <row r="38" spans="1:12" ht="15" customHeight="1" x14ac:dyDescent="0.25">
      <c r="A38" s="932"/>
      <c r="B38" s="894" t="s">
        <v>540</v>
      </c>
      <c r="C38" s="485"/>
      <c r="D38" s="469"/>
      <c r="E38" s="485">
        <v>280000</v>
      </c>
      <c r="F38" s="469"/>
      <c r="G38" s="483"/>
      <c r="H38" s="483"/>
      <c r="I38" s="371"/>
      <c r="J38" s="16"/>
      <c r="K38" s="16"/>
      <c r="L38" s="16"/>
    </row>
    <row r="39" spans="1:12" ht="15" customHeight="1" x14ac:dyDescent="0.25">
      <c r="A39" s="932"/>
      <c r="B39" s="894" t="s">
        <v>541</v>
      </c>
      <c r="C39" s="485"/>
      <c r="D39" s="469"/>
      <c r="E39" s="485">
        <v>0</v>
      </c>
      <c r="F39" s="469"/>
      <c r="G39" s="483"/>
      <c r="H39" s="483"/>
      <c r="I39" s="371"/>
      <c r="J39" s="16"/>
      <c r="K39" s="16"/>
      <c r="L39" s="16"/>
    </row>
    <row r="40" spans="1:12" ht="15" customHeight="1" x14ac:dyDescent="0.25">
      <c r="A40" s="932"/>
      <c r="B40" s="894" t="s">
        <v>542</v>
      </c>
      <c r="C40" s="485"/>
      <c r="D40" s="469"/>
      <c r="E40" s="485">
        <v>0</v>
      </c>
      <c r="F40" s="469"/>
      <c r="G40" s="483"/>
      <c r="H40" s="483"/>
      <c r="I40" s="371"/>
      <c r="J40" s="16"/>
      <c r="K40" s="16"/>
      <c r="L40" s="16"/>
    </row>
    <row r="41" spans="1:12" ht="15" customHeight="1" x14ac:dyDescent="0.25">
      <c r="A41" s="932"/>
      <c r="B41" s="894" t="s">
        <v>97</v>
      </c>
      <c r="C41" s="485"/>
      <c r="D41" s="469"/>
      <c r="E41" s="485"/>
      <c r="F41" s="469">
        <f>1000000-150204</f>
        <v>849796</v>
      </c>
      <c r="G41" s="483" t="s">
        <v>779</v>
      </c>
      <c r="H41" s="483">
        <v>150204</v>
      </c>
      <c r="I41" s="371"/>
      <c r="J41" s="16"/>
      <c r="K41" s="16"/>
      <c r="L41" s="16"/>
    </row>
    <row r="42" spans="1:12" ht="15" customHeight="1" x14ac:dyDescent="0.25">
      <c r="A42" s="932"/>
      <c r="B42" s="894" t="s">
        <v>99</v>
      </c>
      <c r="C42" s="485"/>
      <c r="D42" s="469"/>
      <c r="E42" s="485"/>
      <c r="F42" s="469">
        <v>1000000</v>
      </c>
      <c r="G42" s="483" t="s">
        <v>779</v>
      </c>
      <c r="H42" s="483"/>
      <c r="I42" s="371"/>
      <c r="J42" s="16"/>
      <c r="K42" s="16"/>
      <c r="L42" s="16"/>
    </row>
    <row r="43" spans="1:12" ht="15" customHeight="1" x14ac:dyDescent="0.25">
      <c r="A43" s="932"/>
      <c r="B43" s="894" t="s">
        <v>301</v>
      </c>
      <c r="C43" s="485"/>
      <c r="D43" s="469"/>
      <c r="E43" s="485"/>
      <c r="F43" s="469">
        <v>1000000</v>
      </c>
      <c r="G43" s="483" t="s">
        <v>779</v>
      </c>
      <c r="H43" s="483"/>
      <c r="I43" s="371">
        <f>SUM(D43:E43)</f>
        <v>0</v>
      </c>
      <c r="J43" s="16"/>
      <c r="K43" s="16"/>
      <c r="L43" s="16"/>
    </row>
    <row r="44" spans="1:12" ht="15" customHeight="1" x14ac:dyDescent="0.25">
      <c r="A44" s="932"/>
      <c r="B44" s="894" t="s">
        <v>102</v>
      </c>
      <c r="C44" s="485"/>
      <c r="D44" s="469">
        <v>0</v>
      </c>
      <c r="E44" s="485">
        <v>0</v>
      </c>
      <c r="F44" s="469"/>
      <c r="G44" s="483"/>
      <c r="H44" s="483"/>
      <c r="I44" s="371"/>
      <c r="J44" s="16"/>
      <c r="K44" s="16"/>
      <c r="L44" s="16"/>
    </row>
    <row r="45" spans="1:12" ht="15" customHeight="1" x14ac:dyDescent="0.25">
      <c r="A45" s="932"/>
      <c r="B45" s="895" t="s">
        <v>411</v>
      </c>
      <c r="C45" s="485"/>
      <c r="D45" s="469"/>
      <c r="E45" s="485"/>
      <c r="F45" s="469"/>
      <c r="G45" s="483"/>
      <c r="H45" s="483"/>
      <c r="I45" s="371"/>
      <c r="J45" s="16"/>
      <c r="K45" s="16"/>
      <c r="L45" s="16"/>
    </row>
    <row r="46" spans="1:12" ht="15" customHeight="1" x14ac:dyDescent="0.25">
      <c r="A46" s="932"/>
      <c r="B46" s="895" t="s">
        <v>449</v>
      </c>
      <c r="C46" s="485"/>
      <c r="D46" s="469"/>
      <c r="E46" s="485"/>
      <c r="F46" s="469"/>
      <c r="G46" s="483"/>
      <c r="H46" s="483"/>
      <c r="I46" s="371"/>
      <c r="J46" s="16"/>
      <c r="K46" s="16"/>
      <c r="L46" s="16"/>
    </row>
    <row r="47" spans="1:12" ht="15" customHeight="1" x14ac:dyDescent="0.25">
      <c r="A47" s="940"/>
      <c r="B47" s="895" t="s">
        <v>532</v>
      </c>
      <c r="C47" s="485"/>
      <c r="D47" s="469">
        <v>0</v>
      </c>
      <c r="E47" s="485"/>
      <c r="F47" s="469"/>
      <c r="G47" s="483"/>
      <c r="H47" s="483"/>
      <c r="I47" s="371"/>
      <c r="J47" s="16"/>
      <c r="K47" s="16"/>
      <c r="L47" s="16"/>
    </row>
    <row r="48" spans="1:12" ht="15" customHeight="1" x14ac:dyDescent="0.25">
      <c r="A48" s="940"/>
      <c r="B48" s="895" t="s">
        <v>533</v>
      </c>
      <c r="C48" s="485"/>
      <c r="D48" s="469"/>
      <c r="E48" s="485"/>
      <c r="F48" s="469"/>
      <c r="G48" s="483"/>
      <c r="H48" s="483"/>
      <c r="I48" s="371"/>
      <c r="J48" s="16"/>
      <c r="K48" s="16"/>
      <c r="L48" s="16"/>
    </row>
    <row r="49" spans="1:12" ht="15" customHeight="1" x14ac:dyDescent="0.25">
      <c r="A49" s="940"/>
      <c r="B49" s="894" t="s">
        <v>533</v>
      </c>
      <c r="C49" s="485"/>
      <c r="D49" s="469"/>
      <c r="E49" s="485"/>
      <c r="F49" s="469"/>
      <c r="G49" s="483"/>
      <c r="H49" s="483"/>
      <c r="I49" s="371"/>
      <c r="J49" s="16"/>
      <c r="K49" s="16"/>
      <c r="L49" s="16"/>
    </row>
    <row r="50" spans="1:12" ht="15" customHeight="1" x14ac:dyDescent="0.25">
      <c r="A50" s="943"/>
      <c r="B50" s="897" t="s">
        <v>645</v>
      </c>
      <c r="C50" s="485">
        <v>772000</v>
      </c>
      <c r="D50" s="469"/>
      <c r="E50" s="485">
        <v>550000</v>
      </c>
      <c r="F50" s="469"/>
      <c r="G50" s="483"/>
      <c r="H50" s="483"/>
      <c r="I50" s="371"/>
      <c r="J50" s="16"/>
      <c r="K50" s="16"/>
      <c r="L50" s="16"/>
    </row>
    <row r="51" spans="1:12" ht="30" customHeight="1" x14ac:dyDescent="0.25">
      <c r="A51" s="1005"/>
      <c r="B51" s="1006" t="s">
        <v>979</v>
      </c>
      <c r="C51" s="1007">
        <f>SUM(C11:C50)</f>
        <v>25630121.449999999</v>
      </c>
      <c r="D51" s="1008">
        <f>SUM(D11:D50)</f>
        <v>10753670.08</v>
      </c>
      <c r="E51" s="1007">
        <f>SUM(E11:E50)</f>
        <v>35831069.920000002</v>
      </c>
      <c r="F51" s="1008">
        <f>SUM(F11:F50)</f>
        <v>53642480</v>
      </c>
      <c r="G51" s="857" t="e">
        <f>#REF!+#REF!</f>
        <v>#REF!</v>
      </c>
      <c r="H51" s="445" t="e">
        <f>F51-G51</f>
        <v>#REF!</v>
      </c>
      <c r="I51" s="371"/>
      <c r="J51" s="16"/>
      <c r="K51" s="16"/>
      <c r="L51" s="16"/>
    </row>
    <row r="52" spans="1:12" ht="30" customHeight="1" x14ac:dyDescent="0.25">
      <c r="A52" s="953" t="s">
        <v>1032</v>
      </c>
      <c r="B52" s="898" t="s">
        <v>1006</v>
      </c>
      <c r="C52" s="485"/>
      <c r="D52" s="469"/>
      <c r="E52" s="485"/>
      <c r="F52" s="469"/>
      <c r="G52" s="16"/>
      <c r="H52" s="16"/>
      <c r="I52" s="16"/>
      <c r="J52" s="16"/>
      <c r="K52" s="16"/>
      <c r="L52" s="16"/>
    </row>
    <row r="53" spans="1:12" ht="15" customHeight="1" x14ac:dyDescent="0.25">
      <c r="A53" s="950" t="s">
        <v>1033</v>
      </c>
      <c r="B53" s="894" t="s">
        <v>786</v>
      </c>
      <c r="C53" s="485"/>
      <c r="D53" s="469">
        <v>1000</v>
      </c>
      <c r="E53" s="485">
        <v>99000</v>
      </c>
      <c r="F53" s="469">
        <v>100000</v>
      </c>
      <c r="G53" s="16"/>
      <c r="H53" s="16"/>
      <c r="I53" s="16"/>
      <c r="J53" s="16"/>
      <c r="K53" s="16"/>
      <c r="L53" s="16"/>
    </row>
    <row r="54" spans="1:12" ht="15" customHeight="1" x14ac:dyDescent="0.25">
      <c r="A54" s="950" t="s">
        <v>1034</v>
      </c>
      <c r="B54" s="894" t="s">
        <v>80</v>
      </c>
      <c r="C54" s="485">
        <v>2254080.86</v>
      </c>
      <c r="D54" s="469">
        <v>615540.86</v>
      </c>
      <c r="E54" s="485">
        <v>1105819.1400000001</v>
      </c>
      <c r="F54" s="469"/>
      <c r="G54" s="483"/>
      <c r="H54" s="483"/>
      <c r="I54" s="371"/>
      <c r="J54" s="16"/>
      <c r="K54" s="16"/>
      <c r="L54" s="16"/>
    </row>
    <row r="55" spans="1:12" x14ac:dyDescent="0.25">
      <c r="A55" s="974"/>
      <c r="B55" s="975" t="s">
        <v>887</v>
      </c>
      <c r="C55" s="972"/>
      <c r="D55" s="973"/>
      <c r="E55" s="972"/>
      <c r="F55" s="973">
        <v>132000</v>
      </c>
      <c r="G55" s="483"/>
      <c r="H55" s="483"/>
      <c r="I55" s="371"/>
      <c r="J55" s="16"/>
      <c r="K55" s="16"/>
      <c r="L55" s="16"/>
    </row>
    <row r="56" spans="1:12" x14ac:dyDescent="0.25">
      <c r="A56" s="974"/>
      <c r="B56" s="975" t="s">
        <v>888</v>
      </c>
      <c r="C56" s="972"/>
      <c r="D56" s="973"/>
      <c r="E56" s="972"/>
      <c r="F56" s="973">
        <v>396000</v>
      </c>
      <c r="G56" s="483"/>
      <c r="H56" s="483"/>
      <c r="I56" s="371"/>
      <c r="J56" s="16"/>
      <c r="K56" s="16"/>
      <c r="L56" s="16"/>
    </row>
    <row r="57" spans="1:12" x14ac:dyDescent="0.25">
      <c r="A57" s="974"/>
      <c r="B57" s="975" t="s">
        <v>889</v>
      </c>
      <c r="C57" s="972"/>
      <c r="D57" s="973"/>
      <c r="E57" s="972"/>
      <c r="F57" s="973">
        <v>578160</v>
      </c>
      <c r="G57" s="483"/>
      <c r="H57" s="483"/>
      <c r="I57" s="371"/>
      <c r="J57" s="16"/>
      <c r="K57" s="16"/>
      <c r="L57" s="16"/>
    </row>
    <row r="58" spans="1:12" x14ac:dyDescent="0.25">
      <c r="A58" s="974"/>
      <c r="B58" s="975" t="s">
        <v>890</v>
      </c>
      <c r="C58" s="972"/>
      <c r="D58" s="973"/>
      <c r="E58" s="972"/>
      <c r="F58" s="973">
        <v>289080</v>
      </c>
      <c r="G58" s="483"/>
      <c r="H58" s="483"/>
      <c r="I58" s="371"/>
      <c r="J58" s="16"/>
      <c r="K58" s="16"/>
      <c r="L58" s="16"/>
    </row>
    <row r="59" spans="1:12" ht="30" customHeight="1" x14ac:dyDescent="0.25">
      <c r="A59" s="974"/>
      <c r="B59" s="975" t="s">
        <v>891</v>
      </c>
      <c r="C59" s="972"/>
      <c r="D59" s="973"/>
      <c r="E59" s="972"/>
      <c r="F59" s="973">
        <v>289080</v>
      </c>
      <c r="G59" s="483"/>
      <c r="H59" s="483"/>
      <c r="I59" s="371"/>
      <c r="J59" s="16"/>
      <c r="K59" s="16"/>
      <c r="L59" s="16"/>
    </row>
    <row r="60" spans="1:12" ht="30" customHeight="1" x14ac:dyDescent="0.25">
      <c r="A60" s="974"/>
      <c r="B60" s="975" t="s">
        <v>892</v>
      </c>
      <c r="C60" s="972"/>
      <c r="D60" s="973"/>
      <c r="E60" s="972"/>
      <c r="F60" s="973">
        <v>1252680</v>
      </c>
      <c r="G60" s="483"/>
      <c r="H60" s="483"/>
      <c r="I60" s="371"/>
      <c r="J60" s="16"/>
      <c r="K60" s="16"/>
      <c r="L60" s="16"/>
    </row>
    <row r="61" spans="1:12" x14ac:dyDescent="0.25">
      <c r="A61" s="974"/>
      <c r="B61" s="975" t="s">
        <v>893</v>
      </c>
      <c r="C61" s="972"/>
      <c r="D61" s="973"/>
      <c r="E61" s="972"/>
      <c r="F61" s="973">
        <v>124800</v>
      </c>
      <c r="G61" s="838">
        <f>SUM(F55:F61)</f>
        <v>3061800</v>
      </c>
      <c r="H61" s="483"/>
      <c r="I61" s="371"/>
      <c r="J61" s="16"/>
      <c r="K61" s="16"/>
      <c r="L61" s="16"/>
    </row>
    <row r="62" spans="1:12" ht="15" customHeight="1" x14ac:dyDescent="0.25">
      <c r="A62" s="932"/>
      <c r="B62" s="894" t="s">
        <v>363</v>
      </c>
      <c r="C62" s="485"/>
      <c r="D62" s="469"/>
      <c r="E62" s="485">
        <v>5500000</v>
      </c>
      <c r="F62" s="469">
        <v>0</v>
      </c>
      <c r="G62" s="483"/>
      <c r="H62" s="483"/>
      <c r="I62" s="371"/>
      <c r="J62" s="16"/>
      <c r="K62" s="16"/>
      <c r="L62" s="16"/>
    </row>
    <row r="63" spans="1:12" ht="15" customHeight="1" x14ac:dyDescent="0.25">
      <c r="A63" s="950" t="s">
        <v>1035</v>
      </c>
      <c r="B63" s="894" t="s">
        <v>53</v>
      </c>
      <c r="C63" s="485">
        <v>499966.99</v>
      </c>
      <c r="D63" s="469">
        <v>106388.87</v>
      </c>
      <c r="E63" s="485">
        <v>393611.13</v>
      </c>
      <c r="F63" s="469">
        <v>300000</v>
      </c>
      <c r="G63" s="483"/>
      <c r="H63" s="483"/>
      <c r="I63" s="371"/>
      <c r="J63" s="16"/>
      <c r="K63" s="16"/>
      <c r="L63" s="16"/>
    </row>
    <row r="64" spans="1:12" x14ac:dyDescent="0.25">
      <c r="A64" s="955" t="s">
        <v>1036</v>
      </c>
      <c r="B64" s="896" t="s">
        <v>945</v>
      </c>
      <c r="C64" s="485">
        <v>6246000</v>
      </c>
      <c r="D64" s="469"/>
      <c r="E64" s="485">
        <v>6600000</v>
      </c>
      <c r="F64" s="469">
        <v>11000000</v>
      </c>
      <c r="G64" s="483"/>
      <c r="H64" s="483"/>
      <c r="I64" s="371"/>
      <c r="J64" s="16"/>
      <c r="K64" s="16"/>
      <c r="L64" s="16"/>
    </row>
    <row r="65" spans="1:12" x14ac:dyDescent="0.25">
      <c r="A65" s="950" t="s">
        <v>1037</v>
      </c>
      <c r="B65" s="894" t="s">
        <v>118</v>
      </c>
      <c r="C65" s="485">
        <v>43571</v>
      </c>
      <c r="D65" s="469"/>
      <c r="E65" s="485">
        <v>100000</v>
      </c>
      <c r="F65" s="469">
        <v>100000</v>
      </c>
      <c r="G65" s="483"/>
      <c r="H65" s="483"/>
      <c r="I65" s="371"/>
      <c r="J65" s="16"/>
      <c r="K65" s="16"/>
      <c r="L65" s="16"/>
    </row>
    <row r="66" spans="1:12" x14ac:dyDescent="0.25">
      <c r="A66" s="932"/>
      <c r="B66" s="894" t="s">
        <v>42</v>
      </c>
      <c r="C66" s="485">
        <v>66270.5</v>
      </c>
      <c r="D66" s="469"/>
      <c r="E66" s="485">
        <v>68000</v>
      </c>
      <c r="F66" s="469">
        <v>0</v>
      </c>
      <c r="G66" s="483"/>
      <c r="H66" s="483"/>
      <c r="I66" s="371"/>
      <c r="J66" s="16"/>
      <c r="K66" s="16"/>
      <c r="L66" s="16"/>
    </row>
    <row r="67" spans="1:12" ht="15" customHeight="1" x14ac:dyDescent="0.25">
      <c r="A67" s="956" t="s">
        <v>1033</v>
      </c>
      <c r="B67" s="893" t="s">
        <v>139</v>
      </c>
      <c r="C67" s="485">
        <v>20338424</v>
      </c>
      <c r="D67" s="469">
        <v>621022</v>
      </c>
      <c r="E67" s="485">
        <v>13238978</v>
      </c>
      <c r="F67" s="469"/>
      <c r="G67" s="483"/>
      <c r="H67" s="483"/>
      <c r="I67" s="371"/>
      <c r="J67" s="16"/>
      <c r="K67" s="16"/>
      <c r="L67" s="16"/>
    </row>
    <row r="68" spans="1:12" x14ac:dyDescent="0.25">
      <c r="A68" s="956"/>
      <c r="B68" s="893" t="s">
        <v>965</v>
      </c>
      <c r="C68" s="485"/>
      <c r="D68" s="469"/>
      <c r="E68" s="485"/>
      <c r="F68" s="469">
        <v>10000000</v>
      </c>
      <c r="G68" s="483"/>
      <c r="H68" s="483"/>
      <c r="I68" s="371"/>
      <c r="J68" s="16"/>
      <c r="K68" s="16"/>
      <c r="L68" s="16"/>
    </row>
    <row r="69" spans="1:12" x14ac:dyDescent="0.25">
      <c r="A69" s="956" t="s">
        <v>1038</v>
      </c>
      <c r="B69" s="893" t="s">
        <v>880</v>
      </c>
      <c r="C69" s="485"/>
      <c r="D69" s="469"/>
      <c r="E69" s="485"/>
      <c r="F69" s="469">
        <v>15300000</v>
      </c>
      <c r="G69" s="483"/>
      <c r="H69" s="483"/>
      <c r="I69" s="371"/>
      <c r="J69" s="16"/>
      <c r="K69" s="16"/>
      <c r="L69" s="16"/>
    </row>
    <row r="70" spans="1:12" x14ac:dyDescent="0.25">
      <c r="A70" s="956" t="s">
        <v>1039</v>
      </c>
      <c r="B70" s="893" t="s">
        <v>881</v>
      </c>
      <c r="C70" s="485"/>
      <c r="D70" s="469"/>
      <c r="E70" s="485"/>
      <c r="F70" s="469">
        <v>4100000</v>
      </c>
      <c r="G70" s="483"/>
      <c r="H70" s="483"/>
      <c r="I70" s="371"/>
      <c r="J70" s="16"/>
      <c r="K70" s="16"/>
      <c r="L70" s="16"/>
    </row>
    <row r="71" spans="1:12" ht="15" customHeight="1" x14ac:dyDescent="0.25">
      <c r="A71" s="956" t="s">
        <v>1040</v>
      </c>
      <c r="B71" s="893" t="s">
        <v>894</v>
      </c>
      <c r="C71" s="485"/>
      <c r="D71" s="469"/>
      <c r="E71" s="485"/>
      <c r="F71" s="469">
        <v>9000000</v>
      </c>
      <c r="G71" s="483"/>
      <c r="H71" s="483"/>
      <c r="I71" s="371"/>
      <c r="J71" s="16"/>
      <c r="K71" s="16"/>
      <c r="L71" s="16"/>
    </row>
    <row r="72" spans="1:12" ht="15" customHeight="1" x14ac:dyDescent="0.25">
      <c r="A72" s="935"/>
      <c r="B72" s="893" t="s">
        <v>882</v>
      </c>
      <c r="C72" s="485"/>
      <c r="D72" s="469"/>
      <c r="E72" s="485"/>
      <c r="F72" s="469">
        <v>5000000</v>
      </c>
      <c r="G72" s="483"/>
      <c r="H72" s="483"/>
      <c r="I72" s="371"/>
      <c r="J72" s="16"/>
      <c r="K72" s="16"/>
      <c r="L72" s="16"/>
    </row>
    <row r="73" spans="1:12" ht="15" customHeight="1" x14ac:dyDescent="0.25">
      <c r="A73" s="935"/>
      <c r="B73" s="905" t="s">
        <v>883</v>
      </c>
      <c r="C73" s="485"/>
      <c r="D73" s="469"/>
      <c r="E73" s="485"/>
      <c r="F73" s="469"/>
      <c r="G73" s="483"/>
      <c r="H73" s="483"/>
      <c r="I73" s="371"/>
      <c r="J73" s="16"/>
      <c r="K73" s="16"/>
      <c r="L73" s="16"/>
    </row>
    <row r="74" spans="1:12" ht="15" customHeight="1" x14ac:dyDescent="0.25">
      <c r="A74" s="935"/>
      <c r="B74" s="894" t="s">
        <v>884</v>
      </c>
      <c r="C74" s="485"/>
      <c r="D74" s="469"/>
      <c r="E74" s="485"/>
      <c r="F74" s="469">
        <v>500000</v>
      </c>
      <c r="G74" s="483"/>
      <c r="H74" s="483"/>
      <c r="I74" s="371"/>
      <c r="J74" s="16"/>
      <c r="K74" s="16"/>
      <c r="L74" s="16"/>
    </row>
    <row r="75" spans="1:12" ht="15" customHeight="1" x14ac:dyDescent="0.25">
      <c r="A75" s="935"/>
      <c r="B75" s="894" t="s">
        <v>885</v>
      </c>
      <c r="C75" s="485"/>
      <c r="D75" s="469"/>
      <c r="E75" s="485"/>
      <c r="F75" s="469">
        <v>500000</v>
      </c>
      <c r="G75" s="483"/>
      <c r="H75" s="483"/>
      <c r="I75" s="371"/>
      <c r="J75" s="16"/>
      <c r="K75" s="16"/>
      <c r="L75" s="16"/>
    </row>
    <row r="76" spans="1:12" ht="15" customHeight="1" x14ac:dyDescent="0.25">
      <c r="A76" s="936"/>
      <c r="B76" s="894" t="s">
        <v>886</v>
      </c>
      <c r="C76" s="485"/>
      <c r="D76" s="469"/>
      <c r="E76" s="485"/>
      <c r="F76" s="469">
        <v>600000</v>
      </c>
      <c r="G76" s="483"/>
      <c r="H76" s="483"/>
      <c r="I76" s="371"/>
      <c r="J76" s="16"/>
      <c r="K76" s="16"/>
      <c r="L76" s="16"/>
    </row>
    <row r="77" spans="1:12" ht="15" customHeight="1" x14ac:dyDescent="0.25">
      <c r="A77" s="932"/>
      <c r="B77" s="894" t="s">
        <v>750</v>
      </c>
      <c r="C77" s="485"/>
      <c r="D77" s="469"/>
      <c r="E77" s="485">
        <v>1000000</v>
      </c>
      <c r="F77" s="469"/>
      <c r="G77" s="483" t="s">
        <v>779</v>
      </c>
      <c r="H77" s="483"/>
      <c r="I77" s="371"/>
      <c r="J77" s="16"/>
      <c r="K77" s="16"/>
      <c r="L77" s="16"/>
    </row>
    <row r="78" spans="1:12" ht="15" customHeight="1" x14ac:dyDescent="0.25">
      <c r="A78" s="932"/>
      <c r="B78" s="894" t="s">
        <v>95</v>
      </c>
      <c r="C78" s="485"/>
      <c r="D78" s="469"/>
      <c r="E78" s="485">
        <v>500000</v>
      </c>
      <c r="F78" s="469"/>
      <c r="G78" s="483" t="s">
        <v>779</v>
      </c>
      <c r="H78" s="483"/>
      <c r="I78" s="371"/>
      <c r="J78" s="16"/>
      <c r="K78" s="16"/>
      <c r="L78" s="16"/>
    </row>
    <row r="79" spans="1:12" ht="15" customHeight="1" x14ac:dyDescent="0.25">
      <c r="A79" s="932"/>
      <c r="B79" s="894" t="s">
        <v>97</v>
      </c>
      <c r="C79" s="485"/>
      <c r="D79" s="469"/>
      <c r="E79" s="485">
        <v>500000</v>
      </c>
      <c r="F79" s="469"/>
      <c r="G79" s="483" t="s">
        <v>779</v>
      </c>
      <c r="H79" s="483"/>
      <c r="I79" s="371"/>
      <c r="J79" s="16"/>
      <c r="K79" s="16"/>
      <c r="L79" s="16"/>
    </row>
    <row r="80" spans="1:12" ht="15" customHeight="1" x14ac:dyDescent="0.25">
      <c r="A80" s="932"/>
      <c r="B80" s="894" t="s">
        <v>99</v>
      </c>
      <c r="C80" s="485"/>
      <c r="D80" s="469"/>
      <c r="E80" s="485">
        <v>500000</v>
      </c>
      <c r="F80" s="469"/>
      <c r="G80" s="483" t="s">
        <v>779</v>
      </c>
      <c r="H80" s="483"/>
      <c r="I80" s="371"/>
      <c r="J80" s="16"/>
      <c r="K80" s="16"/>
      <c r="L80" s="16"/>
    </row>
    <row r="81" spans="1:12" ht="15" customHeight="1" x14ac:dyDescent="0.25">
      <c r="A81" s="932"/>
      <c r="B81" s="894" t="s">
        <v>301</v>
      </c>
      <c r="C81" s="485"/>
      <c r="D81" s="469"/>
      <c r="E81" s="485">
        <v>500000</v>
      </c>
      <c r="F81" s="469"/>
      <c r="G81" s="483" t="s">
        <v>779</v>
      </c>
      <c r="H81" s="483"/>
      <c r="I81" s="371">
        <f>SUM(D81:E81)</f>
        <v>500000</v>
      </c>
      <c r="J81" s="16"/>
      <c r="K81" s="16"/>
      <c r="L81" s="16"/>
    </row>
    <row r="82" spans="1:12" ht="30" customHeight="1" x14ac:dyDescent="0.25">
      <c r="A82" s="1005"/>
      <c r="B82" s="1006" t="s">
        <v>1007</v>
      </c>
      <c r="C82" s="1007">
        <f>SUM(C52:C81)</f>
        <v>29448313.350000001</v>
      </c>
      <c r="D82" s="1008">
        <f>SUM(D52:D81)</f>
        <v>1343951.73</v>
      </c>
      <c r="E82" s="1007">
        <f>SUM(E52:E81)</f>
        <v>30105408.27</v>
      </c>
      <c r="F82" s="1008">
        <f>SUM(F52:F81)</f>
        <v>59561800</v>
      </c>
      <c r="G82" s="445" t="e">
        <f>#REF!+#REF!</f>
        <v>#REF!</v>
      </c>
      <c r="H82" s="16"/>
      <c r="I82" s="371"/>
      <c r="J82" s="16"/>
      <c r="K82" s="16"/>
      <c r="L82" s="16"/>
    </row>
    <row r="83" spans="1:12" x14ac:dyDescent="0.25">
      <c r="A83" s="953" t="s">
        <v>1041</v>
      </c>
      <c r="B83" s="898" t="s">
        <v>1008</v>
      </c>
      <c r="C83" s="874"/>
      <c r="D83" s="462"/>
      <c r="E83" s="874"/>
      <c r="F83" s="462"/>
      <c r="G83" s="501"/>
      <c r="H83" s="16"/>
      <c r="I83" s="16"/>
      <c r="J83" s="16"/>
      <c r="K83" s="16"/>
      <c r="L83" s="16"/>
    </row>
    <row r="84" spans="1:12" ht="15" customHeight="1" x14ac:dyDescent="0.25">
      <c r="A84" s="956" t="s">
        <v>1042</v>
      </c>
      <c r="B84" s="894" t="s">
        <v>48</v>
      </c>
      <c r="C84" s="485">
        <v>447885</v>
      </c>
      <c r="D84" s="469">
        <v>87900</v>
      </c>
      <c r="E84" s="485">
        <v>712100</v>
      </c>
      <c r="F84" s="469">
        <v>500000</v>
      </c>
      <c r="G84" s="483">
        <v>2000</v>
      </c>
      <c r="H84" s="483"/>
      <c r="I84" s="371">
        <f t="shared" ref="I84:I91" si="1">SUM(D84:E84)</f>
        <v>800000</v>
      </c>
      <c r="J84" s="16"/>
      <c r="K84" s="16"/>
      <c r="L84" s="16"/>
    </row>
    <row r="85" spans="1:12" ht="15" customHeight="1" x14ac:dyDescent="0.25">
      <c r="A85" s="935"/>
      <c r="B85" s="894" t="s">
        <v>139</v>
      </c>
      <c r="C85" s="485">
        <v>69187.149999999994</v>
      </c>
      <c r="D85" s="469">
        <v>22944.65</v>
      </c>
      <c r="E85" s="877">
        <v>177055.35</v>
      </c>
      <c r="F85" s="469">
        <v>200000</v>
      </c>
      <c r="G85" s="504"/>
      <c r="H85" s="16"/>
      <c r="I85" s="371">
        <f t="shared" si="1"/>
        <v>200000</v>
      </c>
      <c r="J85" s="16"/>
      <c r="K85" s="16"/>
      <c r="L85" s="16"/>
    </row>
    <row r="86" spans="1:12" ht="15" customHeight="1" x14ac:dyDescent="0.25">
      <c r="A86" s="935"/>
      <c r="B86" s="894" t="s">
        <v>53</v>
      </c>
      <c r="C86" s="485">
        <v>1129271.5</v>
      </c>
      <c r="D86" s="469">
        <v>682514.82</v>
      </c>
      <c r="E86" s="877">
        <v>517485.18000000005</v>
      </c>
      <c r="F86" s="469">
        <v>1200000</v>
      </c>
      <c r="G86" s="504">
        <v>1200000</v>
      </c>
      <c r="H86" s="16"/>
      <c r="I86" s="371">
        <f t="shared" si="1"/>
        <v>1200000</v>
      </c>
      <c r="J86" s="16"/>
      <c r="K86" s="16"/>
      <c r="L86" s="16"/>
    </row>
    <row r="87" spans="1:12" ht="15" customHeight="1" x14ac:dyDescent="0.25">
      <c r="A87" s="935"/>
      <c r="B87" s="894" t="s">
        <v>423</v>
      </c>
      <c r="C87" s="485"/>
      <c r="D87" s="469"/>
      <c r="E87" s="877"/>
      <c r="F87" s="469"/>
      <c r="G87" s="504">
        <v>1200000</v>
      </c>
      <c r="H87" s="16"/>
      <c r="I87" s="371">
        <f t="shared" si="1"/>
        <v>0</v>
      </c>
      <c r="J87" s="16"/>
      <c r="K87" s="16"/>
      <c r="L87" s="16"/>
    </row>
    <row r="88" spans="1:12" ht="15" customHeight="1" x14ac:dyDescent="0.25">
      <c r="A88" s="976"/>
      <c r="B88" s="975" t="s">
        <v>80</v>
      </c>
      <c r="C88" s="972">
        <v>5170970</v>
      </c>
      <c r="D88" s="973">
        <v>2512950</v>
      </c>
      <c r="E88" s="977">
        <v>2781290</v>
      </c>
      <c r="F88" s="973">
        <v>6371920</v>
      </c>
      <c r="G88" s="504">
        <v>4620000</v>
      </c>
      <c r="H88" s="16"/>
      <c r="I88" s="371">
        <f t="shared" si="1"/>
        <v>5294240</v>
      </c>
      <c r="J88" s="16"/>
      <c r="K88" s="16"/>
      <c r="L88" s="16"/>
    </row>
    <row r="89" spans="1:12" ht="15" customHeight="1" x14ac:dyDescent="0.25">
      <c r="A89" s="935"/>
      <c r="B89" s="894" t="s">
        <v>118</v>
      </c>
      <c r="C89" s="485">
        <v>131819</v>
      </c>
      <c r="D89" s="469"/>
      <c r="E89" s="878">
        <v>500000</v>
      </c>
      <c r="F89" s="469">
        <v>300000</v>
      </c>
      <c r="G89" s="504">
        <v>300000</v>
      </c>
      <c r="H89" s="16"/>
      <c r="I89" s="371">
        <f t="shared" si="1"/>
        <v>500000</v>
      </c>
      <c r="J89" s="16"/>
      <c r="K89" s="16"/>
      <c r="L89" s="16"/>
    </row>
    <row r="90" spans="1:12" ht="15" customHeight="1" x14ac:dyDescent="0.25">
      <c r="A90" s="935"/>
      <c r="B90" s="894" t="s">
        <v>42</v>
      </c>
      <c r="C90" s="485">
        <v>220526.5</v>
      </c>
      <c r="D90" s="469">
        <v>13513.35</v>
      </c>
      <c r="E90" s="878">
        <v>346486.65</v>
      </c>
      <c r="F90" s="469">
        <v>360000</v>
      </c>
      <c r="G90" s="504">
        <v>360000</v>
      </c>
      <c r="H90" s="16"/>
      <c r="I90" s="371">
        <f t="shared" si="1"/>
        <v>360000</v>
      </c>
      <c r="J90" s="16"/>
      <c r="K90" s="16"/>
      <c r="L90" s="16"/>
    </row>
    <row r="91" spans="1:12" ht="15" customHeight="1" x14ac:dyDescent="0.25">
      <c r="A91" s="935"/>
      <c r="B91" s="388" t="s">
        <v>795</v>
      </c>
      <c r="C91" s="485"/>
      <c r="D91" s="469"/>
      <c r="E91" s="877"/>
      <c r="F91" s="469"/>
      <c r="G91" s="504">
        <v>9000000</v>
      </c>
      <c r="H91" s="16"/>
      <c r="I91" s="371">
        <f t="shared" si="1"/>
        <v>0</v>
      </c>
      <c r="J91" s="16"/>
      <c r="K91" s="16"/>
      <c r="L91" s="16"/>
    </row>
    <row r="92" spans="1:12" s="220" customFormat="1" ht="15" customHeight="1" x14ac:dyDescent="0.25">
      <c r="A92" s="947"/>
      <c r="B92" s="894" t="s">
        <v>517</v>
      </c>
      <c r="C92" s="834">
        <v>6130000</v>
      </c>
      <c r="D92" s="591">
        <v>430000</v>
      </c>
      <c r="E92" s="834">
        <v>7140000</v>
      </c>
      <c r="F92" s="469">
        <v>9000000</v>
      </c>
      <c r="G92" s="697"/>
      <c r="H92" s="16"/>
      <c r="I92" s="508"/>
      <c r="J92" s="508"/>
      <c r="K92" s="508"/>
      <c r="L92" s="508"/>
    </row>
    <row r="93" spans="1:12" s="220" customFormat="1" ht="15" customHeight="1" x14ac:dyDescent="0.25">
      <c r="A93" s="947"/>
      <c r="B93" s="894" t="s">
        <v>702</v>
      </c>
      <c r="C93" s="834"/>
      <c r="D93" s="591">
        <v>417750</v>
      </c>
      <c r="E93" s="834">
        <v>582250</v>
      </c>
      <c r="F93" s="469"/>
      <c r="G93" s="697"/>
      <c r="H93" s="16"/>
      <c r="I93" s="508"/>
      <c r="J93" s="508"/>
      <c r="K93" s="508"/>
      <c r="L93" s="508"/>
    </row>
    <row r="94" spans="1:12" s="220" customFormat="1" ht="15" customHeight="1" x14ac:dyDescent="0.25">
      <c r="A94" s="947"/>
      <c r="B94" s="894" t="s">
        <v>518</v>
      </c>
      <c r="C94" s="834">
        <v>1520926.25</v>
      </c>
      <c r="D94" s="699">
        <v>68394</v>
      </c>
      <c r="E94" s="834">
        <v>1731606</v>
      </c>
      <c r="F94" s="469">
        <v>800000</v>
      </c>
      <c r="G94" s="697"/>
      <c r="H94" s="16"/>
      <c r="I94" s="508"/>
      <c r="J94" s="508"/>
      <c r="K94" s="508"/>
      <c r="L94" s="508"/>
    </row>
    <row r="95" spans="1:12" s="220" customFormat="1" ht="15" customHeight="1" x14ac:dyDescent="0.25">
      <c r="A95" s="947"/>
      <c r="B95" s="894" t="s">
        <v>703</v>
      </c>
      <c r="C95" s="834"/>
      <c r="D95" s="699">
        <v>220500</v>
      </c>
      <c r="E95" s="834">
        <v>779500</v>
      </c>
      <c r="F95" s="469">
        <v>0</v>
      </c>
      <c r="G95" s="697"/>
      <c r="H95" s="16"/>
      <c r="I95" s="508"/>
      <c r="J95" s="508"/>
      <c r="K95" s="508"/>
      <c r="L95" s="508"/>
    </row>
    <row r="96" spans="1:12" s="220" customFormat="1" ht="15" customHeight="1" x14ac:dyDescent="0.25">
      <c r="A96" s="947"/>
      <c r="B96" s="894" t="s">
        <v>615</v>
      </c>
      <c r="C96" s="834">
        <v>1074627.5</v>
      </c>
      <c r="D96" s="699">
        <v>349250</v>
      </c>
      <c r="E96" s="834">
        <v>350750</v>
      </c>
      <c r="F96" s="469">
        <v>0</v>
      </c>
      <c r="G96" s="697"/>
      <c r="H96" s="16"/>
      <c r="I96" s="508"/>
      <c r="J96" s="508"/>
      <c r="K96" s="508"/>
      <c r="L96" s="508"/>
    </row>
    <row r="97" spans="1:12" s="220" customFormat="1" ht="15" customHeight="1" x14ac:dyDescent="0.25">
      <c r="A97" s="947"/>
      <c r="B97" s="894" t="s">
        <v>704</v>
      </c>
      <c r="C97" s="875"/>
      <c r="D97" s="466"/>
      <c r="E97" s="875"/>
      <c r="F97" s="469">
        <v>3000000</v>
      </c>
      <c r="G97" s="697"/>
      <c r="H97" s="16"/>
      <c r="I97" s="508"/>
      <c r="J97" s="508"/>
      <c r="K97" s="508"/>
      <c r="L97" s="508"/>
    </row>
    <row r="98" spans="1:12" s="220" customFormat="1" ht="15" customHeight="1" x14ac:dyDescent="0.25">
      <c r="A98" s="947"/>
      <c r="B98" s="894" t="s">
        <v>872</v>
      </c>
      <c r="C98" s="875"/>
      <c r="D98" s="466"/>
      <c r="E98" s="875"/>
      <c r="F98" s="469">
        <v>450000</v>
      </c>
      <c r="G98" s="697"/>
      <c r="H98" s="16"/>
      <c r="I98" s="508"/>
      <c r="J98" s="508"/>
      <c r="K98" s="508"/>
      <c r="L98" s="508"/>
    </row>
    <row r="99" spans="1:12" s="220" customFormat="1" ht="15" customHeight="1" x14ac:dyDescent="0.25">
      <c r="A99" s="947"/>
      <c r="B99" s="894" t="s">
        <v>873</v>
      </c>
      <c r="C99" s="875"/>
      <c r="D99" s="466"/>
      <c r="E99" s="875"/>
      <c r="F99" s="469">
        <v>675000</v>
      </c>
      <c r="G99" s="697"/>
      <c r="H99" s="16"/>
      <c r="I99" s="508"/>
      <c r="J99" s="508"/>
      <c r="K99" s="508"/>
      <c r="L99" s="508"/>
    </row>
    <row r="100" spans="1:12" s="220" customFormat="1" ht="15" customHeight="1" x14ac:dyDescent="0.25">
      <c r="A100" s="947"/>
      <c r="B100" s="894" t="s">
        <v>874</v>
      </c>
      <c r="C100" s="875"/>
      <c r="D100" s="466"/>
      <c r="E100" s="875"/>
      <c r="F100" s="469">
        <v>300000</v>
      </c>
      <c r="G100" s="697"/>
      <c r="H100" s="16"/>
      <c r="I100" s="508"/>
      <c r="J100" s="508"/>
      <c r="K100" s="508"/>
      <c r="L100" s="508"/>
    </row>
    <row r="101" spans="1:12" s="220" customFormat="1" ht="30" customHeight="1" x14ac:dyDescent="0.25">
      <c r="A101" s="947"/>
      <c r="B101" s="894" t="s">
        <v>875</v>
      </c>
      <c r="C101" s="875"/>
      <c r="D101" s="466"/>
      <c r="E101" s="875"/>
      <c r="F101" s="469">
        <v>443080</v>
      </c>
      <c r="G101" s="697"/>
      <c r="H101" s="16"/>
      <c r="I101" s="508"/>
      <c r="J101" s="508"/>
      <c r="K101" s="508"/>
      <c r="L101" s="508"/>
    </row>
    <row r="102" spans="1:12" x14ac:dyDescent="0.25">
      <c r="A102" s="978"/>
      <c r="B102" s="979" t="s">
        <v>928</v>
      </c>
      <c r="C102" s="980"/>
      <c r="D102" s="981"/>
      <c r="E102" s="980"/>
      <c r="F102" s="981">
        <v>8400000</v>
      </c>
    </row>
    <row r="103" spans="1:12" x14ac:dyDescent="0.25">
      <c r="A103" s="974"/>
      <c r="B103" s="982" t="s">
        <v>929</v>
      </c>
      <c r="C103" s="983"/>
      <c r="D103" s="984"/>
      <c r="E103" s="983"/>
      <c r="F103" s="984">
        <v>5241434</v>
      </c>
    </row>
    <row r="104" spans="1:12" x14ac:dyDescent="0.25">
      <c r="A104" s="974"/>
      <c r="B104" s="982" t="s">
        <v>930</v>
      </c>
      <c r="C104" s="983"/>
      <c r="D104" s="984"/>
      <c r="E104" s="983"/>
      <c r="F104" s="984">
        <v>203772</v>
      </c>
    </row>
    <row r="105" spans="1:12" x14ac:dyDescent="0.25">
      <c r="A105" s="974"/>
      <c r="B105" s="982" t="s">
        <v>1016</v>
      </c>
      <c r="C105" s="983"/>
      <c r="D105" s="984"/>
      <c r="E105" s="983"/>
      <c r="F105" s="984">
        <v>1200000</v>
      </c>
    </row>
    <row r="106" spans="1:12" x14ac:dyDescent="0.25">
      <c r="A106" s="974"/>
      <c r="B106" s="982" t="s">
        <v>1017</v>
      </c>
      <c r="C106" s="983"/>
      <c r="D106" s="984"/>
      <c r="E106" s="983"/>
      <c r="F106" s="984">
        <v>1800000</v>
      </c>
    </row>
    <row r="107" spans="1:12" x14ac:dyDescent="0.25">
      <c r="A107" s="974"/>
      <c r="B107" s="982" t="s">
        <v>931</v>
      </c>
      <c r="C107" s="983"/>
      <c r="D107" s="984"/>
      <c r="E107" s="983"/>
      <c r="F107" s="984">
        <v>90000</v>
      </c>
    </row>
    <row r="108" spans="1:12" x14ac:dyDescent="0.25">
      <c r="A108" s="974"/>
      <c r="B108" s="982" t="s">
        <v>932</v>
      </c>
      <c r="C108" s="983"/>
      <c r="D108" s="984"/>
      <c r="E108" s="983"/>
      <c r="F108" s="984">
        <v>1200000</v>
      </c>
    </row>
    <row r="109" spans="1:12" ht="30" customHeight="1" x14ac:dyDescent="0.25">
      <c r="A109" s="974"/>
      <c r="B109" s="982" t="s">
        <v>1018</v>
      </c>
      <c r="C109" s="983"/>
      <c r="D109" s="984"/>
      <c r="E109" s="983"/>
      <c r="F109" s="984">
        <v>10400000</v>
      </c>
    </row>
    <row r="110" spans="1:12" ht="15" customHeight="1" x14ac:dyDescent="0.25">
      <c r="A110" s="974"/>
      <c r="B110" s="985" t="s">
        <v>937</v>
      </c>
      <c r="C110" s="983"/>
      <c r="D110" s="984"/>
      <c r="E110" s="983"/>
      <c r="F110" s="984"/>
    </row>
    <row r="111" spans="1:12" ht="15" customHeight="1" x14ac:dyDescent="0.25">
      <c r="A111" s="974"/>
      <c r="B111" s="982" t="s">
        <v>933</v>
      </c>
      <c r="C111" s="983"/>
      <c r="D111" s="984"/>
      <c r="E111" s="983"/>
      <c r="F111" s="984">
        <v>7200000</v>
      </c>
    </row>
    <row r="112" spans="1:12" ht="15" customHeight="1" x14ac:dyDescent="0.25">
      <c r="A112" s="974"/>
      <c r="B112" s="982" t="s">
        <v>1014</v>
      </c>
      <c r="C112" s="983"/>
      <c r="D112" s="984"/>
      <c r="E112" s="983"/>
      <c r="F112" s="984"/>
    </row>
    <row r="113" spans="1:12" ht="15" customHeight="1" x14ac:dyDescent="0.25">
      <c r="A113" s="974"/>
      <c r="B113" s="982" t="s">
        <v>1015</v>
      </c>
      <c r="C113" s="983"/>
      <c r="D113" s="984"/>
      <c r="E113" s="983"/>
      <c r="F113" s="984"/>
    </row>
    <row r="114" spans="1:12" ht="15" customHeight="1" x14ac:dyDescent="0.25">
      <c r="A114" s="974"/>
      <c r="B114" s="982" t="s">
        <v>934</v>
      </c>
      <c r="C114" s="983"/>
      <c r="D114" s="984"/>
      <c r="E114" s="983"/>
      <c r="F114" s="984"/>
    </row>
    <row r="115" spans="1:12" ht="15" customHeight="1" x14ac:dyDescent="0.25">
      <c r="A115" s="974"/>
      <c r="B115" s="986" t="s">
        <v>936</v>
      </c>
      <c r="C115" s="983"/>
      <c r="D115" s="984"/>
      <c r="E115" s="983"/>
      <c r="F115" s="984"/>
    </row>
    <row r="116" spans="1:12" ht="15" customHeight="1" x14ac:dyDescent="0.25">
      <c r="A116" s="974"/>
      <c r="B116" s="982" t="s">
        <v>935</v>
      </c>
      <c r="C116" s="983"/>
      <c r="D116" s="984"/>
      <c r="E116" s="983"/>
      <c r="F116" s="984">
        <v>1400000</v>
      </c>
    </row>
    <row r="117" spans="1:12" ht="15" customHeight="1" x14ac:dyDescent="0.25">
      <c r="A117" s="932"/>
      <c r="B117" s="894" t="s">
        <v>750</v>
      </c>
      <c r="C117" s="485"/>
      <c r="D117" s="469"/>
      <c r="E117" s="485"/>
      <c r="F117" s="369"/>
      <c r="G117" s="483" t="s">
        <v>779</v>
      </c>
      <c r="H117" s="483"/>
      <c r="I117" s="371"/>
      <c r="J117" s="16"/>
      <c r="K117" s="16"/>
      <c r="L117" s="16"/>
    </row>
    <row r="118" spans="1:12" ht="15" customHeight="1" x14ac:dyDescent="0.25">
      <c r="A118" s="932"/>
      <c r="B118" s="894" t="s">
        <v>95</v>
      </c>
      <c r="C118" s="485">
        <v>387690</v>
      </c>
      <c r="D118" s="469"/>
      <c r="E118" s="485"/>
      <c r="F118" s="369"/>
      <c r="G118" s="483" t="s">
        <v>1011</v>
      </c>
      <c r="H118" s="483"/>
      <c r="I118" s="371"/>
      <c r="J118" s="16"/>
      <c r="K118" s="16"/>
      <c r="L118" s="16"/>
    </row>
    <row r="119" spans="1:12" ht="15" customHeight="1" x14ac:dyDescent="0.25">
      <c r="A119" s="932"/>
      <c r="B119" s="894" t="s">
        <v>97</v>
      </c>
      <c r="C119" s="485"/>
      <c r="D119" s="469"/>
      <c r="E119" s="485"/>
      <c r="F119" s="369"/>
      <c r="G119" s="483" t="s">
        <v>1012</v>
      </c>
      <c r="H119" s="483"/>
      <c r="I119" s="371"/>
      <c r="J119" s="16"/>
      <c r="K119" s="16"/>
      <c r="L119" s="16"/>
    </row>
    <row r="120" spans="1:12" ht="15" customHeight="1" x14ac:dyDescent="0.25">
      <c r="A120" s="932"/>
      <c r="B120" s="897" t="s">
        <v>827</v>
      </c>
      <c r="C120" s="485">
        <v>2715690.04</v>
      </c>
      <c r="D120" s="469"/>
      <c r="E120" s="485"/>
      <c r="F120" s="369"/>
      <c r="G120" s="483"/>
      <c r="H120" s="483"/>
      <c r="I120" s="371"/>
      <c r="J120" s="16"/>
      <c r="K120" s="16"/>
      <c r="L120" s="16"/>
    </row>
    <row r="121" spans="1:12" ht="15" customHeight="1" x14ac:dyDescent="0.25">
      <c r="A121" s="932"/>
      <c r="B121" s="894" t="s">
        <v>102</v>
      </c>
      <c r="C121" s="485"/>
      <c r="D121" s="469"/>
      <c r="E121" s="485"/>
      <c r="F121" s="369"/>
      <c r="G121" s="483"/>
      <c r="H121" s="483"/>
      <c r="I121" s="371"/>
      <c r="J121" s="16"/>
      <c r="K121" s="16"/>
      <c r="L121" s="16"/>
    </row>
    <row r="122" spans="1:12" ht="30" customHeight="1" x14ac:dyDescent="0.25">
      <c r="A122" s="940"/>
      <c r="B122" s="894" t="s">
        <v>753</v>
      </c>
      <c r="C122" s="485">
        <v>146890</v>
      </c>
      <c r="D122" s="469"/>
      <c r="E122" s="485">
        <v>1500000</v>
      </c>
      <c r="F122" s="369"/>
      <c r="G122" s="483"/>
      <c r="H122" s="483"/>
      <c r="I122" s="371"/>
      <c r="J122" s="16"/>
      <c r="K122" s="16"/>
      <c r="L122" s="16"/>
    </row>
    <row r="123" spans="1:12" ht="15" customHeight="1" x14ac:dyDescent="0.25">
      <c r="A123" s="943"/>
      <c r="B123" s="897" t="s">
        <v>876</v>
      </c>
      <c r="C123" s="488"/>
      <c r="D123" s="489"/>
      <c r="E123" s="488">
        <v>1500000</v>
      </c>
      <c r="F123" s="523">
        <v>1000000</v>
      </c>
      <c r="G123" s="483"/>
      <c r="H123" s="483"/>
      <c r="I123" s="371"/>
      <c r="J123" s="16"/>
      <c r="K123" s="16"/>
      <c r="L123" s="16"/>
    </row>
    <row r="124" spans="1:12" ht="15" customHeight="1" x14ac:dyDescent="0.25">
      <c r="A124" s="932"/>
      <c r="B124" s="894" t="s">
        <v>752</v>
      </c>
      <c r="C124" s="485"/>
      <c r="D124" s="469"/>
      <c r="E124" s="485"/>
      <c r="F124" s="369"/>
      <c r="G124" s="483"/>
      <c r="H124" s="483"/>
      <c r="I124" s="371"/>
      <c r="J124" s="16"/>
      <c r="K124" s="16"/>
      <c r="L124" s="16"/>
    </row>
    <row r="125" spans="1:12" s="220" customFormat="1" ht="15" customHeight="1" x14ac:dyDescent="0.25">
      <c r="A125" s="938"/>
      <c r="B125" s="894" t="s">
        <v>826</v>
      </c>
      <c r="C125" s="834">
        <v>3596306.43</v>
      </c>
      <c r="D125" s="591"/>
      <c r="E125" s="834"/>
      <c r="F125" s="369"/>
      <c r="G125" s="915"/>
      <c r="H125" s="16"/>
      <c r="I125" s="508"/>
      <c r="J125" s="508"/>
      <c r="K125" s="508"/>
      <c r="L125" s="508"/>
    </row>
    <row r="126" spans="1:12" s="220" customFormat="1" ht="15" customHeight="1" x14ac:dyDescent="0.25">
      <c r="A126" s="938"/>
      <c r="B126" s="894" t="s">
        <v>797</v>
      </c>
      <c r="C126" s="834"/>
      <c r="D126" s="591"/>
      <c r="E126" s="834"/>
      <c r="F126" s="369"/>
      <c r="G126" s="915"/>
      <c r="H126" s="16"/>
      <c r="I126" s="508"/>
      <c r="J126" s="508"/>
      <c r="K126" s="508"/>
      <c r="L126" s="508"/>
    </row>
    <row r="127" spans="1:12" s="220" customFormat="1" ht="15" customHeight="1" x14ac:dyDescent="0.25">
      <c r="A127" s="938"/>
      <c r="B127" s="894" t="s">
        <v>738</v>
      </c>
      <c r="C127" s="834"/>
      <c r="D127" s="591"/>
      <c r="E127" s="834"/>
      <c r="F127" s="369"/>
      <c r="G127" s="915"/>
      <c r="H127" s="16"/>
      <c r="I127" s="508"/>
      <c r="J127" s="508"/>
      <c r="K127" s="508"/>
      <c r="L127" s="508"/>
    </row>
    <row r="128" spans="1:12" s="220" customFormat="1" ht="15" customHeight="1" x14ac:dyDescent="0.25">
      <c r="A128" s="938"/>
      <c r="B128" s="894" t="s">
        <v>739</v>
      </c>
      <c r="C128" s="834"/>
      <c r="D128" s="591"/>
      <c r="E128" s="834"/>
      <c r="F128" s="369"/>
      <c r="G128" s="915"/>
      <c r="H128" s="16"/>
      <c r="I128" s="508"/>
      <c r="J128" s="508"/>
      <c r="K128" s="508"/>
      <c r="L128" s="508"/>
    </row>
    <row r="129" spans="1:12" s="220" customFormat="1" ht="15" customHeight="1" x14ac:dyDescent="0.25">
      <c r="A129" s="938"/>
      <c r="B129" s="894" t="s">
        <v>798</v>
      </c>
      <c r="C129" s="834"/>
      <c r="D129" s="591"/>
      <c r="E129" s="834"/>
      <c r="F129" s="469"/>
      <c r="G129" s="697"/>
      <c r="H129" s="16"/>
      <c r="I129" s="508"/>
      <c r="J129" s="508"/>
      <c r="K129" s="508"/>
      <c r="L129" s="508"/>
    </row>
    <row r="130" spans="1:12" s="220" customFormat="1" ht="30" customHeight="1" x14ac:dyDescent="0.25">
      <c r="A130" s="938"/>
      <c r="B130" s="894" t="s">
        <v>799</v>
      </c>
      <c r="C130" s="834"/>
      <c r="D130" s="591"/>
      <c r="E130" s="834"/>
      <c r="F130" s="469"/>
      <c r="G130" s="697"/>
      <c r="H130" s="16"/>
      <c r="I130" s="508"/>
      <c r="J130" s="508"/>
      <c r="K130" s="508"/>
      <c r="L130" s="508"/>
    </row>
    <row r="131" spans="1:12" s="220" customFormat="1" x14ac:dyDescent="0.25">
      <c r="A131" s="938"/>
      <c r="B131" s="894" t="s">
        <v>800</v>
      </c>
      <c r="C131" s="834"/>
      <c r="D131" s="591"/>
      <c r="E131" s="834"/>
      <c r="F131" s="469"/>
      <c r="G131" s="697"/>
      <c r="H131" s="16"/>
      <c r="I131" s="508"/>
      <c r="J131" s="508"/>
      <c r="K131" s="508"/>
      <c r="L131" s="508"/>
    </row>
    <row r="132" spans="1:12" s="220" customFormat="1" ht="15" customHeight="1" x14ac:dyDescent="0.25">
      <c r="A132" s="938"/>
      <c r="B132" s="894" t="s">
        <v>801</v>
      </c>
      <c r="C132" s="834"/>
      <c r="D132" s="591"/>
      <c r="E132" s="834"/>
      <c r="F132" s="808"/>
      <c r="G132" s="697"/>
      <c r="H132" s="16"/>
      <c r="I132" s="508"/>
      <c r="J132" s="508"/>
      <c r="K132" s="508"/>
      <c r="L132" s="508"/>
    </row>
    <row r="133" spans="1:12" x14ac:dyDescent="0.25">
      <c r="A133" s="963"/>
      <c r="B133" s="964" t="s">
        <v>868</v>
      </c>
      <c r="C133" s="965">
        <f>SUM(C83:C132)</f>
        <v>22741789.370000001</v>
      </c>
      <c r="D133" s="966">
        <f>SUM(D83:D132)</f>
        <v>4805716.82</v>
      </c>
      <c r="E133" s="967">
        <f>SUM(E83:E132)</f>
        <v>18618523.18</v>
      </c>
      <c r="F133" s="967">
        <f>SUM(F83:F132)</f>
        <v>61735206</v>
      </c>
      <c r="G133" s="371"/>
      <c r="H133" s="16"/>
      <c r="I133" s="371"/>
      <c r="J133" s="16"/>
      <c r="K133" s="16"/>
      <c r="L133" s="16"/>
    </row>
    <row r="134" spans="1:12" ht="30" customHeight="1" x14ac:dyDescent="0.25">
      <c r="A134" s="937"/>
      <c r="B134" s="906" t="s">
        <v>1009</v>
      </c>
      <c r="C134" s="876">
        <v>6492714.2400000002</v>
      </c>
      <c r="D134" s="474"/>
      <c r="E134" s="876">
        <v>0</v>
      </c>
      <c r="F134" s="474"/>
      <c r="G134" s="371"/>
      <c r="H134" s="16"/>
      <c r="I134" s="371"/>
      <c r="J134" s="16"/>
      <c r="K134" s="16"/>
      <c r="L134" s="16"/>
    </row>
    <row r="135" spans="1:12" ht="15" customHeight="1" x14ac:dyDescent="0.25">
      <c r="A135" s="938"/>
      <c r="B135" s="894" t="s">
        <v>918</v>
      </c>
      <c r="C135" s="834"/>
      <c r="D135" s="591">
        <v>1082160</v>
      </c>
      <c r="E135" s="834">
        <v>1545240</v>
      </c>
      <c r="F135" s="369">
        <v>2740000</v>
      </c>
      <c r="G135" s="371">
        <v>2627400</v>
      </c>
      <c r="H135" s="16"/>
      <c r="I135" s="371"/>
      <c r="J135" s="16"/>
      <c r="K135" s="16"/>
      <c r="L135" s="16"/>
    </row>
    <row r="136" spans="1:12" ht="30" customHeight="1" x14ac:dyDescent="0.25">
      <c r="A136" s="950" t="s">
        <v>1043</v>
      </c>
      <c r="B136" s="894" t="s">
        <v>735</v>
      </c>
      <c r="C136" s="834"/>
      <c r="D136" s="591"/>
      <c r="E136" s="834">
        <v>80000</v>
      </c>
      <c r="F136" s="469">
        <v>80000</v>
      </c>
      <c r="G136" s="371"/>
      <c r="H136" s="16"/>
      <c r="I136" s="371"/>
      <c r="J136" s="16"/>
      <c r="K136" s="16"/>
      <c r="L136" s="16"/>
    </row>
    <row r="137" spans="1:12" ht="15" customHeight="1" x14ac:dyDescent="0.25">
      <c r="A137" s="950"/>
      <c r="B137" s="894" t="s">
        <v>736</v>
      </c>
      <c r="C137" s="834"/>
      <c r="D137" s="591"/>
      <c r="E137" s="834">
        <v>500000</v>
      </c>
      <c r="F137" s="469">
        <v>500000</v>
      </c>
      <c r="G137" s="371"/>
      <c r="H137" s="16"/>
      <c r="I137" s="371"/>
      <c r="J137" s="16"/>
      <c r="K137" s="16"/>
      <c r="L137" s="16"/>
    </row>
    <row r="138" spans="1:12" ht="15" customHeight="1" x14ac:dyDescent="0.25">
      <c r="A138" s="950" t="s">
        <v>1044</v>
      </c>
      <c r="B138" s="894" t="s">
        <v>737</v>
      </c>
      <c r="C138" s="834"/>
      <c r="D138" s="591">
        <v>779974</v>
      </c>
      <c r="E138" s="834">
        <v>26</v>
      </c>
      <c r="F138" s="469">
        <v>780000</v>
      </c>
      <c r="G138" s="371"/>
      <c r="H138" s="16"/>
      <c r="I138" s="371"/>
      <c r="J138" s="16"/>
      <c r="K138" s="16"/>
      <c r="L138" s="16"/>
    </row>
    <row r="139" spans="1:12" ht="15" customHeight="1" x14ac:dyDescent="0.25">
      <c r="A139" s="957" t="s">
        <v>1045</v>
      </c>
      <c r="B139" s="894" t="s">
        <v>507</v>
      </c>
      <c r="C139" s="834"/>
      <c r="D139" s="591">
        <v>161928</v>
      </c>
      <c r="E139" s="834">
        <v>2465472</v>
      </c>
      <c r="F139" s="489">
        <v>600000</v>
      </c>
      <c r="G139" s="371"/>
      <c r="H139" s="16"/>
      <c r="I139" s="371"/>
      <c r="J139" s="16"/>
      <c r="K139" s="16"/>
      <c r="L139" s="16"/>
    </row>
    <row r="140" spans="1:12" ht="15" customHeight="1" x14ac:dyDescent="0.25">
      <c r="A140" s="948"/>
      <c r="B140" s="894" t="s">
        <v>869</v>
      </c>
      <c r="C140" s="834"/>
      <c r="D140" s="591"/>
      <c r="E140" s="834"/>
      <c r="F140" s="469">
        <v>500000</v>
      </c>
      <c r="G140" s="371"/>
      <c r="H140" s="16"/>
      <c r="I140" s="371"/>
      <c r="J140" s="16"/>
      <c r="K140" s="16"/>
      <c r="L140" s="16"/>
    </row>
    <row r="141" spans="1:12" ht="30" customHeight="1" x14ac:dyDescent="0.25">
      <c r="A141" s="948"/>
      <c r="B141" s="894" t="s">
        <v>870</v>
      </c>
      <c r="C141" s="834"/>
      <c r="D141" s="591"/>
      <c r="E141" s="834"/>
      <c r="F141" s="469">
        <v>200000</v>
      </c>
      <c r="G141" s="371"/>
      <c r="H141" s="16"/>
      <c r="I141" s="371"/>
      <c r="J141" s="16"/>
      <c r="K141" s="16"/>
      <c r="L141" s="16"/>
    </row>
    <row r="142" spans="1:12" ht="15" customHeight="1" x14ac:dyDescent="0.25">
      <c r="A142" s="949"/>
      <c r="B142" s="894" t="s">
        <v>871</v>
      </c>
      <c r="C142" s="806"/>
      <c r="D142" s="807"/>
      <c r="E142" s="806"/>
      <c r="F142" s="489">
        <v>2000000</v>
      </c>
      <c r="G142" s="371"/>
      <c r="H142" s="16"/>
      <c r="I142" s="371"/>
      <c r="J142" s="16"/>
      <c r="K142" s="16"/>
      <c r="L142" s="16"/>
    </row>
    <row r="143" spans="1:12" ht="15" customHeight="1" x14ac:dyDescent="0.25">
      <c r="A143" s="963"/>
      <c r="B143" s="964" t="s">
        <v>867</v>
      </c>
      <c r="C143" s="965">
        <f t="shared" ref="C143:F143" si="2">SUM(C134:C142)</f>
        <v>6492714.2400000002</v>
      </c>
      <c r="D143" s="966">
        <f t="shared" si="2"/>
        <v>2024062</v>
      </c>
      <c r="E143" s="967">
        <f t="shared" si="2"/>
        <v>4590738</v>
      </c>
      <c r="F143" s="967">
        <f t="shared" si="2"/>
        <v>7400000</v>
      </c>
      <c r="G143" s="371"/>
      <c r="H143" s="371">
        <f>SUM(F135:F142)</f>
        <v>7400000</v>
      </c>
      <c r="I143" s="371" t="e">
        <f>+H143+#REF!+#REF!</f>
        <v>#REF!</v>
      </c>
      <c r="J143" s="16"/>
      <c r="K143" s="16"/>
      <c r="L143" s="16"/>
    </row>
    <row r="144" spans="1:12" ht="30" customHeight="1" x14ac:dyDescent="0.25">
      <c r="A144" s="1005"/>
      <c r="B144" s="1006" t="s">
        <v>980</v>
      </c>
      <c r="C144" s="1007">
        <f>C143+C133</f>
        <v>29234503.609999999</v>
      </c>
      <c r="D144" s="1008">
        <f t="shared" ref="D144:F144" si="3">D143+D133</f>
        <v>6829778.8200000003</v>
      </c>
      <c r="E144" s="1007">
        <f t="shared" si="3"/>
        <v>23209261.18</v>
      </c>
      <c r="F144" s="1008">
        <f t="shared" si="3"/>
        <v>69135206</v>
      </c>
      <c r="G144" s="510" t="s">
        <v>597</v>
      </c>
      <c r="H144" s="16"/>
      <c r="I144" s="371"/>
      <c r="J144" s="16"/>
      <c r="K144" s="16"/>
      <c r="L144" s="16"/>
    </row>
    <row r="145" spans="1:12" ht="45" customHeight="1" x14ac:dyDescent="0.25">
      <c r="A145" s="953" t="s">
        <v>1143</v>
      </c>
      <c r="B145" s="1011" t="s">
        <v>303</v>
      </c>
      <c r="C145" s="874"/>
      <c r="D145" s="462"/>
      <c r="E145" s="874"/>
      <c r="F145" s="363"/>
      <c r="G145" s="439"/>
      <c r="H145" s="16"/>
      <c r="I145" s="16"/>
      <c r="J145" s="16"/>
      <c r="K145" s="16"/>
      <c r="L145" s="16"/>
    </row>
    <row r="146" spans="1:12" ht="15" customHeight="1" x14ac:dyDescent="0.25">
      <c r="A146" s="958" t="s">
        <v>1046</v>
      </c>
      <c r="B146" s="907" t="s">
        <v>48</v>
      </c>
      <c r="C146" s="609"/>
      <c r="D146" s="369"/>
      <c r="E146" s="609"/>
      <c r="F146" s="386">
        <v>1180280</v>
      </c>
      <c r="G146" s="364"/>
    </row>
    <row r="147" spans="1:12" ht="15" customHeight="1" x14ac:dyDescent="0.25">
      <c r="A147" s="950" t="s">
        <v>1047</v>
      </c>
      <c r="B147" s="907" t="s">
        <v>80</v>
      </c>
      <c r="C147" s="203">
        <v>1143593.75</v>
      </c>
      <c r="D147" s="125">
        <v>476100</v>
      </c>
      <c r="E147" s="203">
        <v>639900</v>
      </c>
      <c r="F147" s="88">
        <v>1317680</v>
      </c>
      <c r="G147" s="41">
        <f>750000+410000</f>
        <v>1160000</v>
      </c>
      <c r="I147" s="46">
        <f>SUM(D147:E147)</f>
        <v>1116000</v>
      </c>
    </row>
    <row r="148" spans="1:12" ht="15" customHeight="1" x14ac:dyDescent="0.25">
      <c r="A148" s="932"/>
      <c r="B148" s="907" t="s">
        <v>139</v>
      </c>
      <c r="C148" s="203"/>
      <c r="D148" s="125"/>
      <c r="E148" s="203"/>
      <c r="F148" s="88"/>
      <c r="I148" s="46">
        <f>SUM(D148:E148)</f>
        <v>0</v>
      </c>
    </row>
    <row r="149" spans="1:12" ht="15" customHeight="1" x14ac:dyDescent="0.25">
      <c r="A149" s="932"/>
      <c r="B149" s="907" t="s">
        <v>347</v>
      </c>
      <c r="C149" s="203"/>
      <c r="D149" s="125"/>
      <c r="E149" s="203">
        <v>300000</v>
      </c>
      <c r="F149" s="88">
        <v>300000</v>
      </c>
      <c r="I149" s="46"/>
    </row>
    <row r="150" spans="1:12" ht="15" customHeight="1" x14ac:dyDescent="0.25">
      <c r="A150" s="932"/>
      <c r="B150" s="907" t="s">
        <v>53</v>
      </c>
      <c r="C150" s="203"/>
      <c r="D150" s="125"/>
      <c r="E150" s="203"/>
      <c r="F150" s="88"/>
      <c r="I150" s="46">
        <f>SUM(D150:E150)</f>
        <v>0</v>
      </c>
    </row>
    <row r="151" spans="1:12" ht="15" customHeight="1" x14ac:dyDescent="0.25">
      <c r="A151" s="932"/>
      <c r="B151" s="907" t="s">
        <v>77</v>
      </c>
      <c r="C151" s="203">
        <v>591200</v>
      </c>
      <c r="D151" s="125">
        <v>276800</v>
      </c>
      <c r="E151" s="203">
        <v>371800</v>
      </c>
      <c r="F151" s="88">
        <v>648600</v>
      </c>
      <c r="I151" s="46"/>
    </row>
    <row r="152" spans="1:12" ht="15" customHeight="1" x14ac:dyDescent="0.25">
      <c r="A152" s="932"/>
      <c r="B152" s="907" t="s">
        <v>58</v>
      </c>
      <c r="C152" s="203">
        <v>5350.5</v>
      </c>
      <c r="D152" s="125"/>
      <c r="E152" s="203">
        <v>24000</v>
      </c>
      <c r="F152" s="88">
        <v>20000</v>
      </c>
      <c r="I152" s="46"/>
    </row>
    <row r="153" spans="1:12" ht="15" customHeight="1" x14ac:dyDescent="0.25">
      <c r="A153" s="950" t="s">
        <v>1048</v>
      </c>
      <c r="B153" s="907" t="s">
        <v>42</v>
      </c>
      <c r="C153" s="203"/>
      <c r="D153" s="125"/>
      <c r="E153" s="203"/>
      <c r="F153" s="88">
        <v>400000</v>
      </c>
      <c r="I153" s="46">
        <f>SUM(D153:E153)</f>
        <v>0</v>
      </c>
    </row>
    <row r="154" spans="1:12" ht="15" customHeight="1" x14ac:dyDescent="0.25">
      <c r="A154" s="932"/>
      <c r="B154" s="907" t="s">
        <v>609</v>
      </c>
      <c r="C154" s="203">
        <v>123600</v>
      </c>
      <c r="D154" s="125">
        <v>84650</v>
      </c>
      <c r="E154" s="203">
        <v>215350</v>
      </c>
      <c r="F154" s="88">
        <v>700000</v>
      </c>
      <c r="I154" s="46"/>
    </row>
    <row r="155" spans="1:12" ht="15" customHeight="1" x14ac:dyDescent="0.25">
      <c r="A155" s="932"/>
      <c r="B155" s="908" t="s">
        <v>647</v>
      </c>
      <c r="C155" s="203"/>
      <c r="D155" s="125"/>
      <c r="E155" s="203"/>
      <c r="F155" s="88"/>
      <c r="I155" s="46"/>
    </row>
    <row r="156" spans="1:12" ht="45" customHeight="1" x14ac:dyDescent="0.25">
      <c r="A156" s="932"/>
      <c r="B156" s="907" t="s">
        <v>787</v>
      </c>
      <c r="C156" s="203">
        <v>446943.14</v>
      </c>
      <c r="D156" s="125">
        <v>185441.77</v>
      </c>
      <c r="E156" s="203">
        <v>514558.23</v>
      </c>
      <c r="F156" s="88">
        <v>700000</v>
      </c>
      <c r="G156" s="41" t="s">
        <v>618</v>
      </c>
      <c r="I156" s="46"/>
    </row>
    <row r="157" spans="1:12" x14ac:dyDescent="0.25">
      <c r="A157" s="932"/>
      <c r="B157" s="907" t="s">
        <v>41</v>
      </c>
      <c r="C157" s="203"/>
      <c r="D157" s="125"/>
      <c r="E157" s="203"/>
      <c r="F157" s="125"/>
      <c r="I157" s="46"/>
    </row>
    <row r="158" spans="1:12" ht="15" customHeight="1" x14ac:dyDescent="0.25">
      <c r="A158" s="950" t="s">
        <v>1049</v>
      </c>
      <c r="B158" s="907" t="s">
        <v>648</v>
      </c>
      <c r="C158" s="203">
        <v>21745400</v>
      </c>
      <c r="D158" s="125"/>
      <c r="E158" s="203">
        <v>24000000</v>
      </c>
      <c r="F158" s="125">
        <v>25000000</v>
      </c>
      <c r="I158" s="46"/>
    </row>
    <row r="159" spans="1:12" ht="15" customHeight="1" x14ac:dyDescent="0.25">
      <c r="A159" s="950" t="s">
        <v>1050</v>
      </c>
      <c r="B159" s="907" t="s">
        <v>617</v>
      </c>
      <c r="C159" s="203">
        <v>26030700</v>
      </c>
      <c r="D159" s="125"/>
      <c r="E159" s="203">
        <v>27000000</v>
      </c>
      <c r="F159" s="125">
        <v>27000000</v>
      </c>
      <c r="I159" s="46"/>
    </row>
    <row r="160" spans="1:12" ht="15" customHeight="1" x14ac:dyDescent="0.25">
      <c r="A160" s="950"/>
      <c r="B160" s="907" t="s">
        <v>621</v>
      </c>
      <c r="C160" s="203"/>
      <c r="D160" s="140"/>
      <c r="E160" s="203">
        <v>500000</v>
      </c>
      <c r="F160" s="125">
        <v>1000000</v>
      </c>
      <c r="I160" s="46"/>
    </row>
    <row r="161" spans="1:11" ht="15" customHeight="1" x14ac:dyDescent="0.25">
      <c r="A161" s="950" t="s">
        <v>1051</v>
      </c>
      <c r="B161" s="907" t="s">
        <v>579</v>
      </c>
      <c r="C161" s="882">
        <v>8000000</v>
      </c>
      <c r="D161" s="863"/>
      <c r="E161" s="125">
        <v>8000000</v>
      </c>
      <c r="F161" s="88"/>
      <c r="I161" s="46"/>
    </row>
    <row r="162" spans="1:11" ht="15" customHeight="1" x14ac:dyDescent="0.25">
      <c r="A162" s="932"/>
      <c r="B162" s="907" t="s">
        <v>750</v>
      </c>
      <c r="C162" s="882"/>
      <c r="D162" s="125"/>
      <c r="E162" s="348">
        <v>500000</v>
      </c>
      <c r="F162" s="88"/>
      <c r="G162" s="54" t="s">
        <v>779</v>
      </c>
      <c r="H162" s="54"/>
      <c r="I162" s="46">
        <f>SUM(D162:E162)</f>
        <v>500000</v>
      </c>
    </row>
    <row r="163" spans="1:11" ht="15" customHeight="1" x14ac:dyDescent="0.25">
      <c r="A163" s="932"/>
      <c r="B163" s="907" t="s">
        <v>95</v>
      </c>
      <c r="C163" s="882"/>
      <c r="D163" s="125"/>
      <c r="E163" s="348">
        <v>1000000</v>
      </c>
      <c r="F163" s="88"/>
      <c r="G163" s="54" t="s">
        <v>779</v>
      </c>
      <c r="H163" s="54"/>
      <c r="I163" s="46">
        <f>SUM(D163:E163)</f>
        <v>1000000</v>
      </c>
    </row>
    <row r="164" spans="1:11" ht="15" customHeight="1" x14ac:dyDescent="0.25">
      <c r="A164" s="932"/>
      <c r="B164" s="907" t="s">
        <v>367</v>
      </c>
      <c r="C164" s="882"/>
      <c r="D164" s="125"/>
      <c r="E164" s="348"/>
      <c r="F164" s="88"/>
      <c r="G164" s="54"/>
      <c r="H164" s="54"/>
      <c r="I164" s="46"/>
    </row>
    <row r="165" spans="1:11" ht="15" customHeight="1" x14ac:dyDescent="0.25">
      <c r="A165" s="932"/>
      <c r="B165" s="907" t="s">
        <v>97</v>
      </c>
      <c r="C165" s="882"/>
      <c r="D165" s="125"/>
      <c r="E165" s="348">
        <v>500000</v>
      </c>
      <c r="F165" s="88"/>
      <c r="G165" s="54" t="s">
        <v>779</v>
      </c>
      <c r="H165" s="54"/>
      <c r="I165" s="46"/>
    </row>
    <row r="166" spans="1:11" ht="15" customHeight="1" x14ac:dyDescent="0.25">
      <c r="A166" s="932"/>
      <c r="B166" s="907" t="s">
        <v>914</v>
      </c>
      <c r="C166" s="882"/>
      <c r="D166" s="125"/>
      <c r="E166" s="348"/>
      <c r="F166" s="88">
        <v>500000</v>
      </c>
      <c r="G166" s="54"/>
      <c r="H166" s="54"/>
      <c r="I166" s="46"/>
    </row>
    <row r="167" spans="1:11" ht="15" customHeight="1" x14ac:dyDescent="0.25">
      <c r="A167" s="932"/>
      <c r="B167" s="907" t="s">
        <v>678</v>
      </c>
      <c r="C167" s="882"/>
      <c r="D167" s="125"/>
      <c r="E167" s="348">
        <v>300000</v>
      </c>
      <c r="F167" s="88"/>
      <c r="G167" s="54"/>
      <c r="H167" s="54"/>
      <c r="I167" s="46"/>
    </row>
    <row r="168" spans="1:11" ht="15" customHeight="1" x14ac:dyDescent="0.25">
      <c r="A168" s="932"/>
      <c r="B168" s="907" t="s">
        <v>102</v>
      </c>
      <c r="C168" s="882"/>
      <c r="D168" s="125"/>
      <c r="E168" s="348"/>
      <c r="F168" s="88"/>
      <c r="G168" s="54"/>
      <c r="H168" s="54"/>
      <c r="I168" s="46"/>
    </row>
    <row r="169" spans="1:11" ht="15" customHeight="1" x14ac:dyDescent="0.25">
      <c r="A169" s="932"/>
      <c r="B169" s="907" t="s">
        <v>676</v>
      </c>
      <c r="C169" s="882"/>
      <c r="D169" s="125"/>
      <c r="E169" s="348">
        <v>1500000</v>
      </c>
      <c r="F169" s="88">
        <v>1500000</v>
      </c>
      <c r="G169" s="54"/>
      <c r="H169" s="54"/>
      <c r="I169" s="46"/>
    </row>
    <row r="170" spans="1:11" ht="15" customHeight="1" x14ac:dyDescent="0.25">
      <c r="A170" s="932"/>
      <c r="B170" s="907" t="s">
        <v>677</v>
      </c>
      <c r="C170" s="882"/>
      <c r="D170" s="125"/>
      <c r="E170" s="348">
        <v>2500000</v>
      </c>
      <c r="F170" s="88">
        <v>1500000</v>
      </c>
      <c r="G170" s="54"/>
      <c r="H170" s="54"/>
      <c r="I170" s="46"/>
    </row>
    <row r="171" spans="1:11" ht="15" customHeight="1" x14ac:dyDescent="0.25">
      <c r="A171" s="932"/>
      <c r="B171" s="907" t="s">
        <v>608</v>
      </c>
      <c r="C171" s="882"/>
      <c r="D171" s="125"/>
      <c r="E171" s="348">
        <v>1000000</v>
      </c>
      <c r="F171" s="88">
        <v>1000000</v>
      </c>
      <c r="G171" s="54" t="s">
        <v>779</v>
      </c>
      <c r="H171" s="54"/>
      <c r="I171" s="46"/>
    </row>
    <row r="172" spans="1:11" ht="15" customHeight="1" x14ac:dyDescent="0.25">
      <c r="A172" s="1005"/>
      <c r="B172" s="1009" t="s">
        <v>996</v>
      </c>
      <c r="C172" s="1010">
        <f>SUM(C145:C171)</f>
        <v>58086787.390000001</v>
      </c>
      <c r="D172" s="1010">
        <f>SUM(D145:D171)</f>
        <v>1022991.77</v>
      </c>
      <c r="E172" s="1010">
        <f>SUM(E145:E171)</f>
        <v>68865608.230000004</v>
      </c>
      <c r="F172" s="1010">
        <f>SUM(F145:F171)</f>
        <v>62766560</v>
      </c>
      <c r="G172" s="282"/>
      <c r="H172" s="284">
        <f>SUM(F146:F161)</f>
        <v>58266560</v>
      </c>
      <c r="I172" s="46"/>
    </row>
    <row r="173" spans="1:11" ht="24" x14ac:dyDescent="0.25">
      <c r="A173" s="953" t="s">
        <v>1052</v>
      </c>
      <c r="B173" s="899" t="s">
        <v>854</v>
      </c>
      <c r="C173" s="883"/>
      <c r="D173" s="134"/>
      <c r="E173" s="862"/>
      <c r="F173" s="88"/>
    </row>
    <row r="174" spans="1:11" s="728" customFormat="1" ht="15" customHeight="1" x14ac:dyDescent="0.25">
      <c r="A174" s="956" t="s">
        <v>1023</v>
      </c>
      <c r="B174" s="907" t="s">
        <v>80</v>
      </c>
      <c r="C174" s="204">
        <v>8179250</v>
      </c>
      <c r="D174" s="125">
        <v>4756400</v>
      </c>
      <c r="E174" s="863">
        <v>4943600</v>
      </c>
      <c r="F174" s="88">
        <v>9923000</v>
      </c>
      <c r="K174" s="729">
        <f>SUM(F174:F174)</f>
        <v>9923000</v>
      </c>
    </row>
    <row r="175" spans="1:11" ht="15" customHeight="1" x14ac:dyDescent="0.25">
      <c r="A175" s="956" t="s">
        <v>1024</v>
      </c>
      <c r="B175" s="907" t="s">
        <v>139</v>
      </c>
      <c r="C175" s="204"/>
      <c r="D175" s="125"/>
      <c r="E175" s="863"/>
      <c r="F175" s="88"/>
      <c r="K175" s="46">
        <f>SUM(F175:F175)</f>
        <v>0</v>
      </c>
    </row>
    <row r="176" spans="1:11" ht="15" customHeight="1" x14ac:dyDescent="0.25">
      <c r="A176" s="956"/>
      <c r="B176" s="907" t="s">
        <v>464</v>
      </c>
      <c r="C176" s="204">
        <v>998750</v>
      </c>
      <c r="D176" s="125"/>
      <c r="E176" s="863">
        <v>1000000</v>
      </c>
      <c r="F176" s="88">
        <v>900000</v>
      </c>
      <c r="K176" s="46"/>
    </row>
    <row r="177" spans="1:11" ht="15" customHeight="1" x14ac:dyDescent="0.25">
      <c r="A177" s="959" t="s">
        <v>1025</v>
      </c>
      <c r="B177" s="909" t="s">
        <v>42</v>
      </c>
      <c r="C177" s="347">
        <v>115210.5</v>
      </c>
      <c r="D177" s="140">
        <v>65350</v>
      </c>
      <c r="E177" s="864">
        <v>94650</v>
      </c>
      <c r="F177" s="98">
        <v>160000</v>
      </c>
      <c r="K177" s="46">
        <f>SUM(F177:F177)</f>
        <v>160000</v>
      </c>
    </row>
    <row r="178" spans="1:11" ht="15" customHeight="1" x14ac:dyDescent="0.25">
      <c r="A178" s="950" t="s">
        <v>1030</v>
      </c>
      <c r="B178" s="907" t="s">
        <v>301</v>
      </c>
      <c r="C178" s="882">
        <v>1298747</v>
      </c>
      <c r="D178" s="125"/>
      <c r="E178" s="348"/>
      <c r="F178" s="88"/>
      <c r="G178" s="54" t="s">
        <v>779</v>
      </c>
      <c r="H178" s="54"/>
      <c r="I178" s="54"/>
      <c r="J178" s="54"/>
      <c r="K178" s="46"/>
    </row>
    <row r="179" spans="1:11" ht="15" customHeight="1" x14ac:dyDescent="0.25">
      <c r="A179" s="950" t="s">
        <v>1031</v>
      </c>
      <c r="B179" s="907" t="s">
        <v>607</v>
      </c>
      <c r="C179" s="882"/>
      <c r="D179" s="125">
        <v>797600</v>
      </c>
      <c r="E179" s="348">
        <v>702400</v>
      </c>
      <c r="F179" s="88">
        <v>800000</v>
      </c>
      <c r="G179" s="54"/>
      <c r="H179" s="54"/>
      <c r="I179" s="54"/>
      <c r="J179" s="54"/>
      <c r="K179" s="46"/>
    </row>
    <row r="180" spans="1:11" ht="15" customHeight="1" x14ac:dyDescent="0.25">
      <c r="A180" s="950" t="s">
        <v>1053</v>
      </c>
      <c r="B180" s="907" t="s">
        <v>430</v>
      </c>
      <c r="C180" s="882"/>
      <c r="D180" s="125"/>
      <c r="E180" s="348">
        <v>200000</v>
      </c>
      <c r="F180" s="88">
        <v>200000</v>
      </c>
      <c r="G180" s="54"/>
      <c r="H180" s="54"/>
      <c r="I180" s="54"/>
      <c r="J180" s="54"/>
      <c r="K180" s="46"/>
    </row>
    <row r="181" spans="1:11" ht="15" customHeight="1" x14ac:dyDescent="0.25">
      <c r="A181" s="950" t="s">
        <v>1054</v>
      </c>
      <c r="B181" s="907" t="s">
        <v>706</v>
      </c>
      <c r="C181" s="882">
        <v>100000</v>
      </c>
      <c r="D181" s="125"/>
      <c r="E181" s="348"/>
      <c r="F181" s="88">
        <v>100000</v>
      </c>
      <c r="G181" s="54"/>
      <c r="H181" s="54"/>
      <c r="I181" s="54"/>
      <c r="J181" s="54"/>
      <c r="K181" s="46"/>
    </row>
    <row r="182" spans="1:11" ht="15" customHeight="1" x14ac:dyDescent="0.25">
      <c r="A182" s="953" t="s">
        <v>1055</v>
      </c>
      <c r="B182" s="900" t="s">
        <v>304</v>
      </c>
      <c r="C182" s="884"/>
      <c r="D182" s="158"/>
      <c r="E182" s="865"/>
      <c r="F182" s="916"/>
      <c r="K182" s="46"/>
    </row>
    <row r="183" spans="1:11" ht="15" customHeight="1" x14ac:dyDescent="0.25">
      <c r="A183" s="950" t="s">
        <v>1056</v>
      </c>
      <c r="B183" s="907" t="s">
        <v>80</v>
      </c>
      <c r="C183" s="882">
        <v>895150</v>
      </c>
      <c r="D183" s="125">
        <v>435650</v>
      </c>
      <c r="E183" s="348">
        <v>564350</v>
      </c>
      <c r="F183" s="88">
        <v>1000000</v>
      </c>
      <c r="G183" s="54"/>
      <c r="H183" s="54"/>
      <c r="I183" s="54">
        <v>2000</v>
      </c>
      <c r="J183" s="54"/>
      <c r="K183" s="46">
        <f>SUM(F183:F183)</f>
        <v>1000000</v>
      </c>
    </row>
    <row r="184" spans="1:11" ht="15" customHeight="1" x14ac:dyDescent="0.25">
      <c r="A184" s="950" t="s">
        <v>1057</v>
      </c>
      <c r="B184" s="907" t="s">
        <v>53</v>
      </c>
      <c r="C184" s="882">
        <v>378050.63</v>
      </c>
      <c r="D184" s="125">
        <v>319691.52000000002</v>
      </c>
      <c r="E184" s="348">
        <v>180308.47999999998</v>
      </c>
      <c r="F184" s="88">
        <v>500000</v>
      </c>
      <c r="G184" s="54"/>
      <c r="H184" s="54"/>
      <c r="I184" s="54">
        <v>2000</v>
      </c>
      <c r="J184" s="54"/>
      <c r="K184" s="46">
        <f>SUM(F184:F184)</f>
        <v>500000</v>
      </c>
    </row>
    <row r="185" spans="1:11" ht="15" customHeight="1" x14ac:dyDescent="0.25">
      <c r="A185" s="932"/>
      <c r="B185" s="907" t="s">
        <v>139</v>
      </c>
      <c r="C185" s="882"/>
      <c r="D185" s="125"/>
      <c r="E185" s="348">
        <v>0</v>
      </c>
      <c r="F185" s="88"/>
      <c r="I185" s="46">
        <f>SUM(D185:E185)</f>
        <v>0</v>
      </c>
    </row>
    <row r="186" spans="1:11" ht="15" customHeight="1" x14ac:dyDescent="0.25">
      <c r="A186" s="950" t="s">
        <v>1058</v>
      </c>
      <c r="B186" s="907" t="s">
        <v>118</v>
      </c>
      <c r="C186" s="882">
        <v>11820</v>
      </c>
      <c r="D186" s="125">
        <v>2310</v>
      </c>
      <c r="E186" s="348">
        <v>297690</v>
      </c>
      <c r="F186" s="88">
        <v>300000</v>
      </c>
      <c r="G186" s="54"/>
      <c r="H186" s="54"/>
      <c r="I186" s="54">
        <v>2000</v>
      </c>
      <c r="J186" s="54"/>
      <c r="K186" s="46">
        <f>SUM(F186:F186)</f>
        <v>300000</v>
      </c>
    </row>
    <row r="187" spans="1:11" ht="15" customHeight="1" x14ac:dyDescent="0.25">
      <c r="A187" s="950" t="s">
        <v>1059</v>
      </c>
      <c r="B187" s="907" t="s">
        <v>42</v>
      </c>
      <c r="C187" s="882"/>
      <c r="D187" s="125"/>
      <c r="E187" s="348">
        <v>500000</v>
      </c>
      <c r="F187" s="88">
        <v>500000</v>
      </c>
      <c r="G187" s="54"/>
      <c r="H187" s="54"/>
      <c r="I187" s="54">
        <v>2000</v>
      </c>
      <c r="J187" s="54"/>
      <c r="K187" s="46">
        <f>SUM(F187:F187)</f>
        <v>500000</v>
      </c>
    </row>
    <row r="188" spans="1:11" ht="15" customHeight="1" x14ac:dyDescent="0.25">
      <c r="A188" s="950" t="s">
        <v>1060</v>
      </c>
      <c r="B188" s="907" t="s">
        <v>48</v>
      </c>
      <c r="C188" s="882"/>
      <c r="D188" s="125">
        <v>108000</v>
      </c>
      <c r="E188" s="348"/>
      <c r="F188" s="88"/>
      <c r="G188" s="300"/>
      <c r="H188" s="54"/>
      <c r="I188" s="300" t="s">
        <v>580</v>
      </c>
      <c r="J188" s="54"/>
      <c r="K188" s="46">
        <f>SUM(F188:F188)</f>
        <v>0</v>
      </c>
    </row>
    <row r="189" spans="1:11" ht="15" customHeight="1" x14ac:dyDescent="0.25">
      <c r="A189" s="937"/>
      <c r="B189" s="909" t="s">
        <v>419</v>
      </c>
      <c r="C189" s="885">
        <v>534400</v>
      </c>
      <c r="D189" s="140">
        <v>192000</v>
      </c>
      <c r="E189" s="866">
        <v>608000</v>
      </c>
      <c r="F189" s="98">
        <v>800000</v>
      </c>
      <c r="G189" s="54"/>
      <c r="H189" s="54"/>
      <c r="I189" s="54" t="s">
        <v>581</v>
      </c>
      <c r="J189" s="54" t="s">
        <v>582</v>
      </c>
      <c r="K189" s="46">
        <f>SUM(F189:F189)</f>
        <v>800000</v>
      </c>
    </row>
    <row r="190" spans="1:11" ht="15" customHeight="1" x14ac:dyDescent="0.25">
      <c r="A190" s="932"/>
      <c r="B190" s="907" t="s">
        <v>750</v>
      </c>
      <c r="C190" s="882"/>
      <c r="D190" s="125"/>
      <c r="E190" s="348">
        <v>500000</v>
      </c>
      <c r="F190" s="88"/>
      <c r="G190" s="54" t="s">
        <v>779</v>
      </c>
      <c r="H190" s="54"/>
      <c r="I190" s="46">
        <f>SUM(D190:E190)</f>
        <v>500000</v>
      </c>
    </row>
    <row r="191" spans="1:11" ht="15" customHeight="1" x14ac:dyDescent="0.25">
      <c r="A191" s="932"/>
      <c r="B191" s="907" t="s">
        <v>95</v>
      </c>
      <c r="C191" s="882"/>
      <c r="D191" s="125"/>
      <c r="E191" s="348">
        <v>500000</v>
      </c>
      <c r="F191" s="88"/>
      <c r="G191" s="54" t="s">
        <v>779</v>
      </c>
      <c r="H191" s="54"/>
      <c r="I191" s="46">
        <f>SUM(D191:E191)</f>
        <v>500000</v>
      </c>
    </row>
    <row r="192" spans="1:11" ht="15" customHeight="1" x14ac:dyDescent="0.25">
      <c r="A192" s="932"/>
      <c r="B192" s="907" t="s">
        <v>97</v>
      </c>
      <c r="C192" s="882"/>
      <c r="D192" s="125"/>
      <c r="E192" s="348">
        <v>500000</v>
      </c>
      <c r="F192" s="88">
        <v>500000</v>
      </c>
      <c r="G192" s="54"/>
      <c r="H192" s="54"/>
      <c r="I192" s="46"/>
    </row>
    <row r="193" spans="1:11" ht="30" customHeight="1" x14ac:dyDescent="0.25">
      <c r="A193" s="974"/>
      <c r="B193" s="987" t="s">
        <v>1019</v>
      </c>
      <c r="C193" s="988"/>
      <c r="D193" s="984"/>
      <c r="E193" s="989"/>
      <c r="F193" s="984">
        <v>15000000</v>
      </c>
      <c r="G193" s="54"/>
      <c r="H193" s="54"/>
      <c r="I193" s="46"/>
    </row>
    <row r="194" spans="1:11" ht="30" customHeight="1" x14ac:dyDescent="0.25">
      <c r="A194" s="1005"/>
      <c r="B194" s="1012" t="s">
        <v>982</v>
      </c>
      <c r="C194" s="1010">
        <f>SUM(C173:C193)</f>
        <v>12511378.130000001</v>
      </c>
      <c r="D194" s="1010">
        <f>SUM(D173:D193)</f>
        <v>6677001.5199999996</v>
      </c>
      <c r="E194" s="1010">
        <f>SUM(E173:E193)</f>
        <v>10590998.48</v>
      </c>
      <c r="F194" s="1010">
        <f>SUM(F173:F193)</f>
        <v>30683000</v>
      </c>
      <c r="G194" s="54" t="s">
        <v>779</v>
      </c>
      <c r="H194" s="54"/>
      <c r="I194" s="46"/>
    </row>
    <row r="195" spans="1:11" ht="30" customHeight="1" x14ac:dyDescent="0.25">
      <c r="A195" s="953" t="s">
        <v>1061</v>
      </c>
      <c r="B195" s="901" t="s">
        <v>855</v>
      </c>
      <c r="C195" s="879"/>
      <c r="D195" s="927"/>
      <c r="E195" s="879"/>
      <c r="F195" s="927"/>
      <c r="I195" s="46"/>
    </row>
    <row r="196" spans="1:11" x14ac:dyDescent="0.25">
      <c r="A196" s="932"/>
      <c r="B196" s="907" t="s">
        <v>620</v>
      </c>
      <c r="C196" s="203">
        <v>6013184</v>
      </c>
      <c r="D196" s="125"/>
      <c r="E196" s="125">
        <v>10000000</v>
      </c>
      <c r="F196" s="125">
        <v>10000000</v>
      </c>
      <c r="G196" s="46">
        <f>SUM(F194)</f>
        <v>30683000</v>
      </c>
      <c r="I196" s="46"/>
    </row>
    <row r="197" spans="1:11" x14ac:dyDescent="0.25">
      <c r="A197" s="938"/>
      <c r="B197" s="907" t="s">
        <v>555</v>
      </c>
      <c r="C197" s="203">
        <v>1994000</v>
      </c>
      <c r="D197" s="125">
        <v>988000</v>
      </c>
      <c r="E197" s="125">
        <v>4012000</v>
      </c>
      <c r="F197" s="125">
        <v>5000000</v>
      </c>
    </row>
    <row r="198" spans="1:11" ht="30" customHeight="1" x14ac:dyDescent="0.25">
      <c r="A198" s="950" t="s">
        <v>1062</v>
      </c>
      <c r="B198" s="907" t="s">
        <v>722</v>
      </c>
      <c r="C198" s="203">
        <v>537900</v>
      </c>
      <c r="D198" s="125">
        <v>295080</v>
      </c>
      <c r="E198" s="125">
        <v>1204920</v>
      </c>
      <c r="F198" s="125">
        <v>1500000</v>
      </c>
      <c r="G198" s="49">
        <v>2240900</v>
      </c>
      <c r="H198" s="49">
        <v>6510000</v>
      </c>
      <c r="I198" s="281">
        <f>+G198+H198</f>
        <v>8750900</v>
      </c>
    </row>
    <row r="199" spans="1:11" ht="15" customHeight="1" x14ac:dyDescent="0.25">
      <c r="A199" s="955" t="s">
        <v>1063</v>
      </c>
      <c r="B199" s="907" t="s">
        <v>557</v>
      </c>
      <c r="C199" s="203">
        <v>708825</v>
      </c>
      <c r="D199" s="125">
        <v>147125</v>
      </c>
      <c r="E199" s="125">
        <v>1352875</v>
      </c>
      <c r="F199" s="125">
        <v>1500000</v>
      </c>
      <c r="G199" s="52" t="s">
        <v>755</v>
      </c>
    </row>
    <row r="200" spans="1:11" ht="15" customHeight="1" x14ac:dyDescent="0.25">
      <c r="A200" s="950"/>
      <c r="B200" s="907" t="s">
        <v>750</v>
      </c>
      <c r="C200" s="203"/>
      <c r="D200" s="125"/>
      <c r="E200" s="125">
        <v>500000</v>
      </c>
      <c r="F200" s="125"/>
      <c r="G200" s="831"/>
      <c r="K200" s="46"/>
    </row>
    <row r="201" spans="1:11" ht="15" customHeight="1" x14ac:dyDescent="0.25">
      <c r="A201" s="950"/>
      <c r="B201" s="907" t="s">
        <v>95</v>
      </c>
      <c r="C201" s="203"/>
      <c r="D201" s="125"/>
      <c r="E201" s="125">
        <v>1000000</v>
      </c>
      <c r="F201" s="125"/>
      <c r="G201" s="281">
        <f>G200+G195</f>
        <v>0</v>
      </c>
      <c r="K201" s="46"/>
    </row>
    <row r="202" spans="1:11" ht="15" customHeight="1" x14ac:dyDescent="0.25">
      <c r="A202" s="932"/>
      <c r="B202" s="907" t="s">
        <v>97</v>
      </c>
      <c r="C202" s="203"/>
      <c r="D202" s="125"/>
      <c r="E202" s="125">
        <v>500000</v>
      </c>
      <c r="F202" s="125"/>
      <c r="G202" s="54" t="s">
        <v>779</v>
      </c>
      <c r="H202" s="54"/>
      <c r="I202" s="46">
        <f>SUM(D200:E200)</f>
        <v>500000</v>
      </c>
    </row>
    <row r="203" spans="1:11" ht="15" customHeight="1" x14ac:dyDescent="0.25">
      <c r="A203" s="932"/>
      <c r="B203" s="907" t="s">
        <v>608</v>
      </c>
      <c r="C203" s="203"/>
      <c r="D203" s="125"/>
      <c r="E203" s="125">
        <v>1000000</v>
      </c>
      <c r="F203" s="125"/>
      <c r="G203" s="54" t="s">
        <v>779</v>
      </c>
      <c r="H203" s="54"/>
      <c r="I203" s="46">
        <f>SUM(D201:E201)</f>
        <v>1000000</v>
      </c>
    </row>
    <row r="204" spans="1:11" ht="30" customHeight="1" x14ac:dyDescent="0.25">
      <c r="A204" s="1005"/>
      <c r="B204" s="1009" t="s">
        <v>1010</v>
      </c>
      <c r="C204" s="1013">
        <f>SUM(C195:C203)</f>
        <v>9253909</v>
      </c>
      <c r="D204" s="1014">
        <f>SUM(D195:D203)</f>
        <v>1430205</v>
      </c>
      <c r="E204" s="1010">
        <f>SUM(E195:E203)</f>
        <v>19569795</v>
      </c>
      <c r="F204" s="1014">
        <f>SUM(F195:F203)</f>
        <v>18000000</v>
      </c>
      <c r="G204" s="54" t="s">
        <v>779</v>
      </c>
      <c r="H204" s="54"/>
      <c r="I204" s="46"/>
    </row>
    <row r="205" spans="1:11" ht="30" customHeight="1" x14ac:dyDescent="0.25">
      <c r="A205" s="953" t="s">
        <v>1064</v>
      </c>
      <c r="B205" s="901" t="s">
        <v>983</v>
      </c>
      <c r="C205" s="879"/>
      <c r="D205" s="928"/>
      <c r="E205" s="879"/>
      <c r="F205" s="125"/>
      <c r="I205" s="46"/>
    </row>
    <row r="206" spans="1:11" ht="30" customHeight="1" x14ac:dyDescent="0.25">
      <c r="A206" s="938"/>
      <c r="B206" s="908" t="s">
        <v>376</v>
      </c>
      <c r="C206" s="881"/>
      <c r="D206" s="124"/>
      <c r="E206" s="861"/>
      <c r="F206" s="125"/>
      <c r="G206" s="46">
        <f>SUM(F204)</f>
        <v>18000000</v>
      </c>
      <c r="H206" s="281">
        <v>14260000</v>
      </c>
      <c r="I206" s="46">
        <f>H206-G206</f>
        <v>-3740000</v>
      </c>
      <c r="J206" s="52" t="s">
        <v>614</v>
      </c>
    </row>
    <row r="207" spans="1:11" x14ac:dyDescent="0.25">
      <c r="A207" s="932"/>
      <c r="B207" s="907" t="s">
        <v>51</v>
      </c>
      <c r="C207" s="882"/>
      <c r="D207" s="125"/>
      <c r="E207" s="348">
        <v>200000</v>
      </c>
      <c r="F207" s="125">
        <v>120000</v>
      </c>
      <c r="H207" s="281"/>
    </row>
    <row r="208" spans="1:11" ht="15" customHeight="1" x14ac:dyDescent="0.25">
      <c r="A208" s="950" t="s">
        <v>1065</v>
      </c>
      <c r="B208" s="907" t="s">
        <v>139</v>
      </c>
      <c r="C208" s="882"/>
      <c r="D208" s="125"/>
      <c r="E208" s="348"/>
      <c r="F208" s="125"/>
    </row>
    <row r="209" spans="1:9" ht="15" customHeight="1" x14ac:dyDescent="0.25">
      <c r="A209" s="932"/>
      <c r="B209" s="909" t="s">
        <v>466</v>
      </c>
      <c r="C209" s="882">
        <v>918000</v>
      </c>
      <c r="D209" s="125"/>
      <c r="E209" s="348">
        <v>1158000</v>
      </c>
      <c r="F209" s="125">
        <v>500000</v>
      </c>
      <c r="I209" s="46">
        <f>SUM(D207:E207)</f>
        <v>200000</v>
      </c>
    </row>
    <row r="210" spans="1:9" ht="15" customHeight="1" x14ac:dyDescent="0.25">
      <c r="A210" s="932"/>
      <c r="B210" s="909" t="s">
        <v>377</v>
      </c>
      <c r="C210" s="882">
        <v>248220</v>
      </c>
      <c r="D210" s="125"/>
      <c r="E210" s="348">
        <v>260000</v>
      </c>
      <c r="F210" s="125">
        <v>200000</v>
      </c>
      <c r="I210" s="46">
        <f>SUM(D208:E208)</f>
        <v>0</v>
      </c>
    </row>
    <row r="211" spans="1:9" ht="15" customHeight="1" x14ac:dyDescent="0.25">
      <c r="A211" s="932"/>
      <c r="B211" s="909" t="s">
        <v>862</v>
      </c>
      <c r="C211" s="882">
        <v>149500</v>
      </c>
      <c r="D211" s="125"/>
      <c r="E211" s="348">
        <v>300000</v>
      </c>
      <c r="F211" s="125">
        <v>160000</v>
      </c>
      <c r="I211" s="46"/>
    </row>
    <row r="212" spans="1:9" ht="15" customHeight="1" x14ac:dyDescent="0.25">
      <c r="A212" s="932"/>
      <c r="B212" s="909" t="s">
        <v>468</v>
      </c>
      <c r="C212" s="882">
        <v>150000</v>
      </c>
      <c r="D212" s="125"/>
      <c r="E212" s="348">
        <v>300000</v>
      </c>
      <c r="F212" s="125"/>
      <c r="I212" s="46"/>
    </row>
    <row r="213" spans="1:9" ht="15" customHeight="1" x14ac:dyDescent="0.25">
      <c r="A213" s="932"/>
      <c r="B213" s="909" t="s">
        <v>469</v>
      </c>
      <c r="C213" s="882"/>
      <c r="D213" s="125"/>
      <c r="E213" s="348">
        <v>150000</v>
      </c>
      <c r="F213" s="125"/>
      <c r="I213" s="46"/>
    </row>
    <row r="214" spans="1:9" ht="15" customHeight="1" x14ac:dyDescent="0.25">
      <c r="A214" s="932"/>
      <c r="B214" s="909" t="s">
        <v>470</v>
      </c>
      <c r="C214" s="882">
        <v>139216</v>
      </c>
      <c r="D214" s="125"/>
      <c r="E214" s="348">
        <v>240000</v>
      </c>
      <c r="F214" s="125"/>
      <c r="I214" s="46"/>
    </row>
    <row r="215" spans="1:9" ht="15" customHeight="1" x14ac:dyDescent="0.25">
      <c r="A215" s="932"/>
      <c r="B215" s="907" t="s">
        <v>53</v>
      </c>
      <c r="C215" s="882">
        <v>6547848.1600000001</v>
      </c>
      <c r="D215" s="125">
        <v>5636089.3899999997</v>
      </c>
      <c r="E215" s="348">
        <v>6363910.6100000003</v>
      </c>
      <c r="F215" s="125">
        <v>8000000</v>
      </c>
      <c r="I215" s="46"/>
    </row>
    <row r="216" spans="1:9" x14ac:dyDescent="0.25">
      <c r="A216" s="939"/>
      <c r="B216" s="907" t="s">
        <v>63</v>
      </c>
      <c r="C216" s="886">
        <v>17136.66</v>
      </c>
      <c r="D216" s="88"/>
      <c r="E216" s="867"/>
      <c r="F216" s="125">
        <v>60000</v>
      </c>
      <c r="I216" s="46"/>
    </row>
    <row r="217" spans="1:9" ht="15" customHeight="1" x14ac:dyDescent="0.25">
      <c r="A217" s="932"/>
      <c r="B217" s="907" t="s">
        <v>80</v>
      </c>
      <c r="C217" s="882">
        <v>23658490</v>
      </c>
      <c r="D217" s="125">
        <v>11478035</v>
      </c>
      <c r="E217" s="348">
        <v>12237565</v>
      </c>
      <c r="F217" s="125">
        <v>27900000</v>
      </c>
      <c r="I217" s="46">
        <f>SUM(D215:E215)</f>
        <v>12000000</v>
      </c>
    </row>
    <row r="218" spans="1:9" x14ac:dyDescent="0.25">
      <c r="A218" s="932"/>
      <c r="B218" s="907" t="s">
        <v>428</v>
      </c>
      <c r="C218" s="882"/>
      <c r="D218" s="125"/>
      <c r="E218" s="348"/>
      <c r="F218" s="125"/>
    </row>
    <row r="219" spans="1:9" ht="30" customHeight="1" x14ac:dyDescent="0.25">
      <c r="A219" s="974"/>
      <c r="B219" s="987" t="s">
        <v>1116</v>
      </c>
      <c r="C219" s="988"/>
      <c r="D219" s="984"/>
      <c r="E219" s="989"/>
      <c r="F219" s="984">
        <v>15000000</v>
      </c>
      <c r="G219" s="54"/>
      <c r="H219" s="54"/>
      <c r="I219" s="46"/>
    </row>
    <row r="220" spans="1:9" ht="15" customHeight="1" x14ac:dyDescent="0.25">
      <c r="A220" s="974"/>
      <c r="B220" s="982" t="s">
        <v>984</v>
      </c>
      <c r="C220" s="988"/>
      <c r="D220" s="984"/>
      <c r="E220" s="989"/>
      <c r="F220" s="984">
        <v>669600</v>
      </c>
      <c r="I220" s="46"/>
    </row>
    <row r="221" spans="1:9" ht="15" customHeight="1" x14ac:dyDescent="0.25">
      <c r="A221" s="932"/>
      <c r="B221" s="907" t="s">
        <v>863</v>
      </c>
      <c r="C221" s="882">
        <v>3738365</v>
      </c>
      <c r="D221" s="125">
        <v>2849331</v>
      </c>
      <c r="E221" s="348">
        <v>2150669</v>
      </c>
      <c r="F221" s="125">
        <v>4000000</v>
      </c>
      <c r="G221" s="49">
        <v>26996520</v>
      </c>
      <c r="I221" s="46">
        <f>SUM(D217:E217)</f>
        <v>23715600</v>
      </c>
    </row>
    <row r="222" spans="1:9" ht="15" customHeight="1" x14ac:dyDescent="0.25">
      <c r="A222" s="932"/>
      <c r="B222" s="907" t="s">
        <v>42</v>
      </c>
      <c r="C222" s="882"/>
      <c r="D222" s="125"/>
      <c r="E222" s="348"/>
      <c r="F222" s="125"/>
      <c r="I222" s="46">
        <f>SUM(D218:E218)</f>
        <v>0</v>
      </c>
    </row>
    <row r="223" spans="1:9" x14ac:dyDescent="0.25">
      <c r="A223" s="932"/>
      <c r="B223" s="910" t="s">
        <v>864</v>
      </c>
      <c r="C223" s="882"/>
      <c r="D223" s="125"/>
      <c r="E223" s="348"/>
      <c r="F223" s="125">
        <v>3000000</v>
      </c>
      <c r="I223" s="46">
        <f>SUM(D221:E221)</f>
        <v>5000000</v>
      </c>
    </row>
    <row r="224" spans="1:9" ht="15" customHeight="1" x14ac:dyDescent="0.25">
      <c r="A224" s="932"/>
      <c r="B224" s="910" t="s">
        <v>988</v>
      </c>
      <c r="C224" s="882"/>
      <c r="D224" s="125"/>
      <c r="E224" s="348"/>
      <c r="F224" s="125">
        <v>1000000</v>
      </c>
      <c r="I224" s="46">
        <f>SUM(D222:E222)</f>
        <v>0</v>
      </c>
    </row>
    <row r="225" spans="1:11" ht="15" customHeight="1" x14ac:dyDescent="0.25">
      <c r="A225" s="932"/>
      <c r="B225" s="907" t="s">
        <v>471</v>
      </c>
      <c r="C225" s="882"/>
      <c r="D225" s="125"/>
      <c r="E225" s="348">
        <v>40000</v>
      </c>
      <c r="F225" s="125"/>
      <c r="I225" s="46"/>
    </row>
    <row r="226" spans="1:11" ht="15" customHeight="1" x14ac:dyDescent="0.25">
      <c r="A226" s="940"/>
      <c r="B226" s="907" t="s">
        <v>879</v>
      </c>
      <c r="C226" s="203"/>
      <c r="D226" s="125"/>
      <c r="E226" s="203">
        <v>0</v>
      </c>
      <c r="F226" s="125">
        <v>1926000</v>
      </c>
      <c r="I226" s="46"/>
    </row>
    <row r="227" spans="1:11" ht="15" customHeight="1" x14ac:dyDescent="0.25">
      <c r="A227" s="940"/>
      <c r="B227" s="907" t="s">
        <v>741</v>
      </c>
      <c r="C227" s="203">
        <v>223896</v>
      </c>
      <c r="D227" s="125"/>
      <c r="E227" s="203">
        <v>3000000</v>
      </c>
      <c r="F227" s="125"/>
      <c r="I227" s="46"/>
    </row>
    <row r="228" spans="1:11" ht="15" customHeight="1" x14ac:dyDescent="0.25">
      <c r="A228" s="940"/>
      <c r="B228" s="907" t="s">
        <v>725</v>
      </c>
      <c r="C228" s="203">
        <v>2532230.1</v>
      </c>
      <c r="D228" s="125">
        <v>915398.4</v>
      </c>
      <c r="E228" s="203">
        <v>4084601.6</v>
      </c>
      <c r="F228" s="125">
        <v>2500000</v>
      </c>
      <c r="G228" s="52"/>
      <c r="I228" s="52" t="s">
        <v>583</v>
      </c>
      <c r="K228" s="46"/>
    </row>
    <row r="229" spans="1:11" ht="15" customHeight="1" x14ac:dyDescent="0.25">
      <c r="A229" s="940"/>
      <c r="B229" s="907" t="s">
        <v>742</v>
      </c>
      <c r="C229" s="203"/>
      <c r="D229" s="125"/>
      <c r="E229" s="203">
        <v>60000</v>
      </c>
      <c r="F229" s="125"/>
      <c r="G229" s="52"/>
      <c r="I229" s="52"/>
      <c r="K229" s="46"/>
    </row>
    <row r="230" spans="1:11" ht="15" customHeight="1" x14ac:dyDescent="0.25">
      <c r="A230" s="940"/>
      <c r="B230" s="907" t="s">
        <v>743</v>
      </c>
      <c r="C230" s="203">
        <v>9896</v>
      </c>
      <c r="D230" s="125"/>
      <c r="E230" s="203">
        <v>100000</v>
      </c>
      <c r="F230" s="125"/>
      <c r="G230" s="52">
        <v>300000</v>
      </c>
      <c r="H230" s="41" t="s">
        <v>781</v>
      </c>
      <c r="I230" s="52" t="s">
        <v>583</v>
      </c>
      <c r="K230" s="46"/>
    </row>
    <row r="231" spans="1:11" ht="30" customHeight="1" x14ac:dyDescent="0.25">
      <c r="A231" s="940"/>
      <c r="B231" s="907" t="s">
        <v>744</v>
      </c>
      <c r="C231" s="203"/>
      <c r="D231" s="125"/>
      <c r="E231" s="203">
        <v>20000</v>
      </c>
      <c r="F231" s="125"/>
      <c r="G231" s="52"/>
      <c r="I231" s="52"/>
      <c r="K231" s="46"/>
    </row>
    <row r="232" spans="1:11" x14ac:dyDescent="0.25">
      <c r="A232" s="940"/>
      <c r="B232" s="907" t="s">
        <v>728</v>
      </c>
      <c r="C232" s="203"/>
      <c r="D232" s="125"/>
      <c r="E232" s="203">
        <v>150000</v>
      </c>
      <c r="F232" s="125"/>
      <c r="G232" s="52"/>
      <c r="I232" s="52"/>
      <c r="K232" s="46"/>
    </row>
    <row r="233" spans="1:11" ht="30" customHeight="1" x14ac:dyDescent="0.25">
      <c r="A233" s="941"/>
      <c r="B233" s="911" t="s">
        <v>745</v>
      </c>
      <c r="C233" s="206"/>
      <c r="D233" s="145"/>
      <c r="E233" s="203">
        <v>50000</v>
      </c>
      <c r="F233" s="125"/>
      <c r="G233" s="52"/>
      <c r="I233" s="52"/>
      <c r="K233" s="46"/>
    </row>
    <row r="234" spans="1:11" ht="30" customHeight="1" x14ac:dyDescent="0.25">
      <c r="A234" s="941"/>
      <c r="B234" s="911" t="s">
        <v>865</v>
      </c>
      <c r="C234" s="206"/>
      <c r="D234" s="145"/>
      <c r="E234" s="203">
        <v>100000</v>
      </c>
      <c r="F234" s="125">
        <v>50000</v>
      </c>
      <c r="G234" s="301"/>
      <c r="H234" s="52"/>
      <c r="I234" s="301">
        <v>150000</v>
      </c>
      <c r="J234" s="52" t="s">
        <v>584</v>
      </c>
      <c r="K234" s="46"/>
    </row>
    <row r="235" spans="1:11" ht="30" customHeight="1" x14ac:dyDescent="0.25">
      <c r="A235" s="941"/>
      <c r="B235" s="911" t="s">
        <v>747</v>
      </c>
      <c r="C235" s="206"/>
      <c r="D235" s="145"/>
      <c r="E235" s="203">
        <v>100000</v>
      </c>
      <c r="F235" s="125"/>
      <c r="G235" s="302"/>
      <c r="H235" s="52"/>
      <c r="I235" s="302"/>
      <c r="J235" s="52"/>
      <c r="K235" s="46"/>
    </row>
    <row r="236" spans="1:11" ht="30" customHeight="1" x14ac:dyDescent="0.25">
      <c r="A236" s="941"/>
      <c r="B236" s="911" t="s">
        <v>748</v>
      </c>
      <c r="C236" s="206">
        <v>4971.16</v>
      </c>
      <c r="D236" s="145"/>
      <c r="E236" s="203">
        <v>80000</v>
      </c>
      <c r="F236" s="125">
        <v>30000</v>
      </c>
      <c r="G236" s="302"/>
      <c r="H236" s="52"/>
      <c r="I236" s="302"/>
      <c r="J236" s="52"/>
      <c r="K236" s="46"/>
    </row>
    <row r="237" spans="1:11" ht="15" customHeight="1" x14ac:dyDescent="0.25">
      <c r="A237" s="941"/>
      <c r="B237" s="911" t="s">
        <v>749</v>
      </c>
      <c r="C237" s="206"/>
      <c r="D237" s="145"/>
      <c r="E237" s="203">
        <v>500000</v>
      </c>
      <c r="F237" s="125"/>
      <c r="G237" s="302"/>
      <c r="H237" s="52"/>
      <c r="I237" s="302"/>
      <c r="J237" s="52"/>
      <c r="K237" s="46"/>
    </row>
    <row r="238" spans="1:11" ht="15" customHeight="1" x14ac:dyDescent="0.25">
      <c r="A238" s="932"/>
      <c r="B238" s="907" t="s">
        <v>750</v>
      </c>
      <c r="C238" s="882"/>
      <c r="D238" s="125"/>
      <c r="E238" s="203">
        <v>500000</v>
      </c>
      <c r="F238" s="125">
        <v>500000</v>
      </c>
      <c r="G238" s="794">
        <v>46416520</v>
      </c>
      <c r="H238" s="281"/>
      <c r="I238" s="46"/>
    </row>
    <row r="239" spans="1:11" ht="15" customHeight="1" x14ac:dyDescent="0.25">
      <c r="A239" s="932"/>
      <c r="B239" s="907" t="s">
        <v>95</v>
      </c>
      <c r="C239" s="882">
        <v>152700</v>
      </c>
      <c r="D239" s="125"/>
      <c r="E239" s="203">
        <v>250000</v>
      </c>
      <c r="F239" s="125">
        <v>500000</v>
      </c>
      <c r="I239" s="46"/>
    </row>
    <row r="240" spans="1:11" ht="15" customHeight="1" x14ac:dyDescent="0.25">
      <c r="A240" s="932"/>
      <c r="B240" s="907" t="s">
        <v>97</v>
      </c>
      <c r="C240" s="882"/>
      <c r="D240" s="125"/>
      <c r="E240" s="203">
        <v>250000</v>
      </c>
      <c r="F240" s="125"/>
      <c r="G240" s="54" t="s">
        <v>779</v>
      </c>
      <c r="H240" s="54"/>
      <c r="I240" s="46">
        <f>SUM(D238:E238)</f>
        <v>500000</v>
      </c>
    </row>
    <row r="241" spans="1:12" ht="15" customHeight="1" x14ac:dyDescent="0.25">
      <c r="A241" s="942"/>
      <c r="B241" s="931" t="s">
        <v>1021</v>
      </c>
      <c r="C241" s="887">
        <v>544930</v>
      </c>
      <c r="D241" s="841"/>
      <c r="E241" s="868">
        <v>883000</v>
      </c>
      <c r="F241" s="125">
        <v>750000</v>
      </c>
      <c r="G241" s="54"/>
      <c r="H241" s="805"/>
      <c r="I241" s="46"/>
    </row>
    <row r="242" spans="1:12" ht="15" customHeight="1" x14ac:dyDescent="0.25">
      <c r="A242" s="932"/>
      <c r="B242" s="907" t="s">
        <v>102</v>
      </c>
      <c r="C242" s="882"/>
      <c r="D242" s="125"/>
      <c r="E242" s="348"/>
      <c r="F242" s="125">
        <v>0</v>
      </c>
      <c r="G242" s="54" t="s">
        <v>779</v>
      </c>
      <c r="H242" s="54"/>
      <c r="I242" s="46"/>
    </row>
    <row r="243" spans="1:12" ht="15" customHeight="1" x14ac:dyDescent="0.25">
      <c r="A243" s="940"/>
      <c r="B243" s="907" t="s">
        <v>641</v>
      </c>
      <c r="C243" s="203">
        <v>2195000</v>
      </c>
      <c r="D243" s="125"/>
      <c r="E243" s="203">
        <v>0</v>
      </c>
      <c r="F243" s="125">
        <v>0</v>
      </c>
      <c r="G243" s="54"/>
      <c r="H243" s="54"/>
      <c r="I243" s="46"/>
    </row>
    <row r="244" spans="1:12" ht="15" customHeight="1" x14ac:dyDescent="0.25">
      <c r="A244" s="940"/>
      <c r="B244" s="907" t="s">
        <v>643</v>
      </c>
      <c r="C244" s="203">
        <v>40000</v>
      </c>
      <c r="D244" s="125"/>
      <c r="E244" s="203">
        <v>0</v>
      </c>
      <c r="F244" s="125">
        <v>0</v>
      </c>
      <c r="G244" s="303"/>
      <c r="H244" s="54"/>
      <c r="I244" s="46"/>
      <c r="J244" s="303"/>
      <c r="K244" s="54"/>
      <c r="L244" s="46"/>
    </row>
    <row r="245" spans="1:12" ht="15" customHeight="1" x14ac:dyDescent="0.25">
      <c r="A245" s="932"/>
      <c r="B245" s="907" t="s">
        <v>608</v>
      </c>
      <c r="C245" s="882"/>
      <c r="D245" s="125"/>
      <c r="E245" s="863">
        <v>500000</v>
      </c>
      <c r="F245" s="125"/>
      <c r="G245" s="303"/>
      <c r="H245" s="54"/>
      <c r="I245" s="46"/>
      <c r="J245" s="303">
        <v>0.2</v>
      </c>
      <c r="K245" s="54"/>
      <c r="L245" s="46"/>
    </row>
    <row r="246" spans="1:12" ht="15" customHeight="1" x14ac:dyDescent="0.25">
      <c r="A246" s="943"/>
      <c r="B246" s="912" t="s">
        <v>866</v>
      </c>
      <c r="C246" s="58"/>
      <c r="D246" s="199"/>
      <c r="E246" s="58"/>
      <c r="F246" s="125">
        <v>40000</v>
      </c>
      <c r="G246" s="303"/>
      <c r="H246" s="54"/>
      <c r="I246" s="46"/>
      <c r="J246" s="303">
        <v>0.2</v>
      </c>
      <c r="K246" s="54"/>
      <c r="L246" s="46"/>
    </row>
    <row r="247" spans="1:12" ht="30" customHeight="1" x14ac:dyDescent="0.25">
      <c r="A247" s="974"/>
      <c r="B247" s="987" t="s">
        <v>1020</v>
      </c>
      <c r="C247" s="988"/>
      <c r="D247" s="984"/>
      <c r="E247" s="989"/>
      <c r="F247" s="984">
        <v>15000000</v>
      </c>
      <c r="G247" s="54"/>
      <c r="H247" s="54"/>
      <c r="I247" s="46"/>
    </row>
    <row r="248" spans="1:12" ht="30" customHeight="1" x14ac:dyDescent="0.25">
      <c r="A248" s="1015"/>
      <c r="B248" s="1016" t="s">
        <v>989</v>
      </c>
      <c r="C248" s="1017">
        <f>SUM(C205:C247)</f>
        <v>41270399.079999998</v>
      </c>
      <c r="D248" s="1018">
        <f>SUM(D205:D247)</f>
        <v>20878853.789999999</v>
      </c>
      <c r="E248" s="1019">
        <f>SUM(E205:E247)</f>
        <v>34027746.210000001</v>
      </c>
      <c r="F248" s="1020">
        <f>SUM(F205:F247)</f>
        <v>81905600</v>
      </c>
      <c r="G248" s="930"/>
      <c r="H248" s="54"/>
      <c r="I248" s="46"/>
    </row>
    <row r="249" spans="1:12" ht="30" customHeight="1" x14ac:dyDescent="0.25">
      <c r="A249" s="944"/>
      <c r="B249" s="917" t="s">
        <v>856</v>
      </c>
      <c r="C249" s="888"/>
      <c r="D249" s="166"/>
      <c r="E249" s="869"/>
      <c r="F249" s="929"/>
      <c r="G249" s="789">
        <v>3820000</v>
      </c>
      <c r="I249" s="46"/>
    </row>
    <row r="250" spans="1:12" ht="15" customHeight="1" x14ac:dyDescent="0.25">
      <c r="A250" s="950" t="s">
        <v>1066</v>
      </c>
      <c r="B250" s="907" t="s">
        <v>415</v>
      </c>
      <c r="C250" s="882">
        <v>803905</v>
      </c>
      <c r="D250" s="125"/>
      <c r="E250" s="348">
        <v>0</v>
      </c>
      <c r="F250" s="130"/>
      <c r="G250" s="804">
        <f>G249+G238</f>
        <v>50236520</v>
      </c>
      <c r="I250" s="46"/>
    </row>
    <row r="251" spans="1:12" x14ac:dyDescent="0.25">
      <c r="A251" s="950" t="s">
        <v>1067</v>
      </c>
      <c r="B251" s="907" t="s">
        <v>633</v>
      </c>
      <c r="C251" s="882"/>
      <c r="D251" s="125">
        <v>4923957</v>
      </c>
      <c r="E251" s="348">
        <v>76043</v>
      </c>
      <c r="F251" s="130">
        <v>5000000</v>
      </c>
    </row>
    <row r="252" spans="1:12" x14ac:dyDescent="0.25">
      <c r="A252" s="932"/>
      <c r="B252" s="907" t="s">
        <v>395</v>
      </c>
      <c r="C252" s="882"/>
      <c r="D252" s="125">
        <v>805720</v>
      </c>
      <c r="E252" s="348">
        <v>4194280</v>
      </c>
      <c r="F252" s="130">
        <v>5000000</v>
      </c>
      <c r="I252" s="46">
        <f>SUM(D250:E250)</f>
        <v>0</v>
      </c>
    </row>
    <row r="253" spans="1:12" x14ac:dyDescent="0.25">
      <c r="A253" s="932"/>
      <c r="B253" s="907" t="s">
        <v>396</v>
      </c>
      <c r="C253" s="882"/>
      <c r="D253" s="125"/>
      <c r="E253" s="348">
        <v>0</v>
      </c>
      <c r="F253" s="130"/>
      <c r="I253" s="46"/>
    </row>
    <row r="254" spans="1:12" x14ac:dyDescent="0.25">
      <c r="A254" s="950" t="s">
        <v>1068</v>
      </c>
      <c r="B254" s="907" t="s">
        <v>680</v>
      </c>
      <c r="C254" s="882">
        <v>6781243</v>
      </c>
      <c r="D254" s="125"/>
      <c r="E254" s="348">
        <v>8000000</v>
      </c>
      <c r="F254" s="130">
        <v>8000000</v>
      </c>
      <c r="I254" s="46"/>
    </row>
    <row r="255" spans="1:12" ht="30" customHeight="1" x14ac:dyDescent="0.25">
      <c r="A255" s="950" t="s">
        <v>1069</v>
      </c>
      <c r="B255" s="907" t="s">
        <v>681</v>
      </c>
      <c r="C255" s="882"/>
      <c r="D255" s="125">
        <v>227765.5</v>
      </c>
      <c r="E255" s="348">
        <v>772234.5</v>
      </c>
      <c r="F255" s="130">
        <v>1000000</v>
      </c>
      <c r="I255" s="46"/>
    </row>
    <row r="256" spans="1:12" x14ac:dyDescent="0.25">
      <c r="A256" s="932"/>
      <c r="B256" s="907" t="s">
        <v>682</v>
      </c>
      <c r="C256" s="882"/>
      <c r="D256" s="125">
        <v>282810</v>
      </c>
      <c r="E256" s="348">
        <v>117190</v>
      </c>
      <c r="F256" s="130">
        <v>300000</v>
      </c>
      <c r="I256" s="46"/>
    </row>
    <row r="257" spans="1:9" ht="30" customHeight="1" x14ac:dyDescent="0.25">
      <c r="A257" s="950" t="s">
        <v>1070</v>
      </c>
      <c r="B257" s="907" t="s">
        <v>756</v>
      </c>
      <c r="C257" s="882"/>
      <c r="D257" s="125"/>
      <c r="E257" s="348">
        <v>200000</v>
      </c>
      <c r="F257" s="130">
        <v>50000</v>
      </c>
      <c r="I257" s="46"/>
    </row>
    <row r="258" spans="1:9" x14ac:dyDescent="0.25">
      <c r="A258" s="940"/>
      <c r="B258" s="907" t="s">
        <v>63</v>
      </c>
      <c r="C258" s="203"/>
      <c r="D258" s="125"/>
      <c r="E258" s="203"/>
      <c r="F258" s="130"/>
      <c r="G258" s="46"/>
      <c r="I258" s="46"/>
    </row>
    <row r="259" spans="1:9" ht="30" customHeight="1" x14ac:dyDescent="0.25">
      <c r="A259" s="957" t="s">
        <v>1071</v>
      </c>
      <c r="B259" s="907" t="s">
        <v>632</v>
      </c>
      <c r="C259" s="203">
        <v>6353.49</v>
      </c>
      <c r="D259" s="125">
        <v>6000</v>
      </c>
      <c r="E259" s="203">
        <v>194000</v>
      </c>
      <c r="F259" s="130">
        <v>200000</v>
      </c>
      <c r="G259" s="46"/>
      <c r="I259" s="46"/>
    </row>
    <row r="260" spans="1:9" ht="15" customHeight="1" x14ac:dyDescent="0.25">
      <c r="A260" s="940"/>
      <c r="B260" s="907" t="s">
        <v>48</v>
      </c>
      <c r="C260" s="203"/>
      <c r="D260" s="125"/>
      <c r="E260" s="203">
        <v>0</v>
      </c>
      <c r="F260" s="130"/>
      <c r="I260" s="46"/>
    </row>
    <row r="261" spans="1:9" x14ac:dyDescent="0.25">
      <c r="A261" s="957" t="s">
        <v>1072</v>
      </c>
      <c r="B261" s="907" t="s">
        <v>342</v>
      </c>
      <c r="C261" s="203">
        <v>59239.76</v>
      </c>
      <c r="D261" s="125"/>
      <c r="E261" s="203"/>
      <c r="F261" s="130">
        <v>30000</v>
      </c>
      <c r="I261" s="46"/>
    </row>
    <row r="262" spans="1:9" ht="30" customHeight="1" x14ac:dyDescent="0.25">
      <c r="A262" s="957" t="s">
        <v>1073</v>
      </c>
      <c r="B262" s="907" t="s">
        <v>629</v>
      </c>
      <c r="C262" s="203">
        <v>97116</v>
      </c>
      <c r="D262" s="125"/>
      <c r="E262" s="203">
        <v>0</v>
      </c>
      <c r="F262" s="88">
        <v>300000</v>
      </c>
      <c r="I262" s="46"/>
    </row>
    <row r="263" spans="1:9" ht="15" customHeight="1" x14ac:dyDescent="0.25">
      <c r="A263" s="957" t="s">
        <v>1074</v>
      </c>
      <c r="B263" s="907" t="s">
        <v>631</v>
      </c>
      <c r="C263" s="203"/>
      <c r="D263" s="125"/>
      <c r="E263" s="203">
        <v>0</v>
      </c>
      <c r="F263" s="88">
        <v>50000</v>
      </c>
      <c r="I263" s="46"/>
    </row>
    <row r="264" spans="1:9" ht="15" customHeight="1" x14ac:dyDescent="0.25">
      <c r="A264" s="957" t="s">
        <v>1075</v>
      </c>
      <c r="B264" s="907" t="s">
        <v>635</v>
      </c>
      <c r="C264" s="203"/>
      <c r="D264" s="125"/>
      <c r="E264" s="203">
        <v>70000</v>
      </c>
      <c r="F264" s="88">
        <v>50000</v>
      </c>
      <c r="I264" s="46"/>
    </row>
    <row r="265" spans="1:9" ht="15" customHeight="1" x14ac:dyDescent="0.25">
      <c r="A265" s="940"/>
      <c r="B265" s="907" t="s">
        <v>919</v>
      </c>
      <c r="C265" s="203"/>
      <c r="D265" s="125"/>
      <c r="E265" s="203"/>
      <c r="F265" s="88">
        <v>100000</v>
      </c>
      <c r="I265" s="46"/>
    </row>
    <row r="266" spans="1:9" ht="15" customHeight="1" x14ac:dyDescent="0.25">
      <c r="A266" s="940"/>
      <c r="B266" s="907" t="s">
        <v>695</v>
      </c>
      <c r="C266" s="203"/>
      <c r="D266" s="125"/>
      <c r="E266" s="203"/>
      <c r="F266" s="88">
        <v>70000</v>
      </c>
      <c r="I266" s="46"/>
    </row>
    <row r="267" spans="1:9" ht="15" customHeight="1" x14ac:dyDescent="0.25">
      <c r="A267" s="940"/>
      <c r="B267" s="907" t="s">
        <v>636</v>
      </c>
      <c r="C267" s="203"/>
      <c r="D267" s="125"/>
      <c r="E267" s="203">
        <v>250000</v>
      </c>
      <c r="F267" s="88">
        <v>400000</v>
      </c>
      <c r="I267" s="46"/>
    </row>
    <row r="268" spans="1:9" ht="15" customHeight="1" x14ac:dyDescent="0.25">
      <c r="A268" s="940"/>
      <c r="B268" s="907" t="s">
        <v>51</v>
      </c>
      <c r="C268" s="203">
        <v>4496.13</v>
      </c>
      <c r="D268" s="125"/>
      <c r="E268" s="203">
        <v>0</v>
      </c>
      <c r="F268" s="88"/>
      <c r="I268" s="46"/>
    </row>
    <row r="269" spans="1:9" ht="15" customHeight="1" x14ac:dyDescent="0.25">
      <c r="A269" s="957" t="s">
        <v>1065</v>
      </c>
      <c r="B269" s="907" t="s">
        <v>139</v>
      </c>
      <c r="C269" s="203">
        <v>27171.06</v>
      </c>
      <c r="D269" s="125"/>
      <c r="E269" s="203">
        <v>30000</v>
      </c>
      <c r="F269" s="88">
        <v>20000</v>
      </c>
      <c r="I269" s="46"/>
    </row>
    <row r="270" spans="1:9" ht="15" customHeight="1" x14ac:dyDescent="0.25">
      <c r="A270" s="957" t="s">
        <v>1076</v>
      </c>
      <c r="B270" s="907" t="s">
        <v>53</v>
      </c>
      <c r="C270" s="203"/>
      <c r="D270" s="125"/>
      <c r="E270" s="203">
        <v>0</v>
      </c>
      <c r="F270" s="88">
        <v>100000</v>
      </c>
      <c r="I270" s="46"/>
    </row>
    <row r="271" spans="1:9" ht="15" customHeight="1" x14ac:dyDescent="0.25">
      <c r="A271" s="957" t="s">
        <v>1077</v>
      </c>
      <c r="B271" s="907" t="s">
        <v>80</v>
      </c>
      <c r="C271" s="203">
        <v>130650</v>
      </c>
      <c r="D271" s="125">
        <v>173290</v>
      </c>
      <c r="E271" s="203">
        <v>126710</v>
      </c>
      <c r="F271" s="88">
        <v>442400</v>
      </c>
      <c r="I271" s="46"/>
    </row>
    <row r="272" spans="1:9" ht="15" customHeight="1" x14ac:dyDescent="0.25">
      <c r="A272" s="940"/>
      <c r="B272" s="907" t="s">
        <v>90</v>
      </c>
      <c r="C272" s="203"/>
      <c r="D272" s="125"/>
      <c r="E272" s="203"/>
      <c r="F272" s="88"/>
      <c r="G272" s="41">
        <v>41550000</v>
      </c>
      <c r="H272" s="46" t="e">
        <f>+#REF!-G272</f>
        <v>#REF!</v>
      </c>
      <c r="I272" s="46"/>
    </row>
    <row r="273" spans="1:9" ht="15" customHeight="1" x14ac:dyDescent="0.25">
      <c r="A273" s="957" t="s">
        <v>1078</v>
      </c>
      <c r="B273" s="907" t="s">
        <v>683</v>
      </c>
      <c r="C273" s="203"/>
      <c r="D273" s="125"/>
      <c r="E273" s="203">
        <v>500000</v>
      </c>
      <c r="F273" s="88"/>
      <c r="I273" s="46"/>
    </row>
    <row r="274" spans="1:9" ht="15" customHeight="1" x14ac:dyDescent="0.25">
      <c r="A274" s="957" t="s">
        <v>1079</v>
      </c>
      <c r="B274" s="907" t="s">
        <v>684</v>
      </c>
      <c r="C274" s="203">
        <v>599967.79</v>
      </c>
      <c r="D274" s="125"/>
      <c r="E274" s="203">
        <v>600000</v>
      </c>
      <c r="F274" s="130">
        <v>500000</v>
      </c>
      <c r="I274" s="46"/>
    </row>
    <row r="275" spans="1:9" ht="15" customHeight="1" x14ac:dyDescent="0.25">
      <c r="A275" s="957" t="s">
        <v>1080</v>
      </c>
      <c r="B275" s="907" t="s">
        <v>685</v>
      </c>
      <c r="C275" s="203">
        <v>257174.75</v>
      </c>
      <c r="D275" s="125"/>
      <c r="E275" s="203">
        <v>500000</v>
      </c>
      <c r="F275" s="130">
        <v>200000</v>
      </c>
      <c r="I275" s="46"/>
    </row>
    <row r="276" spans="1:9" ht="15" customHeight="1" x14ac:dyDescent="0.25">
      <c r="A276" s="957" t="s">
        <v>1081</v>
      </c>
      <c r="B276" s="907" t="s">
        <v>686</v>
      </c>
      <c r="C276" s="203"/>
      <c r="D276" s="125"/>
      <c r="E276" s="203">
        <v>1000000</v>
      </c>
      <c r="F276" s="130">
        <v>1000000</v>
      </c>
      <c r="I276" s="46"/>
    </row>
    <row r="277" spans="1:9" ht="30" customHeight="1" x14ac:dyDescent="0.25">
      <c r="A277" s="940"/>
      <c r="B277" s="907" t="s">
        <v>687</v>
      </c>
      <c r="C277" s="203"/>
      <c r="D277" s="125"/>
      <c r="E277" s="203">
        <v>3000000</v>
      </c>
      <c r="F277" s="130">
        <v>3000000</v>
      </c>
      <c r="I277" s="46"/>
    </row>
    <row r="278" spans="1:9" x14ac:dyDescent="0.25">
      <c r="A278" s="957" t="s">
        <v>1082</v>
      </c>
      <c r="B278" s="907" t="s">
        <v>688</v>
      </c>
      <c r="C278" s="203"/>
      <c r="D278" s="125"/>
      <c r="E278" s="203">
        <v>2000000</v>
      </c>
      <c r="F278" s="130"/>
      <c r="I278" s="46"/>
    </row>
    <row r="279" spans="1:9" x14ac:dyDescent="0.25">
      <c r="A279" s="957" t="s">
        <v>1083</v>
      </c>
      <c r="B279" s="907" t="s">
        <v>689</v>
      </c>
      <c r="C279" s="203"/>
      <c r="D279" s="125"/>
      <c r="E279" s="203">
        <v>500000</v>
      </c>
      <c r="F279" s="130">
        <v>500000</v>
      </c>
      <c r="I279" s="46"/>
    </row>
    <row r="280" spans="1:9" x14ac:dyDescent="0.25">
      <c r="A280" s="957" t="s">
        <v>1084</v>
      </c>
      <c r="B280" s="907" t="s">
        <v>690</v>
      </c>
      <c r="C280" s="203"/>
      <c r="D280" s="125"/>
      <c r="E280" s="203">
        <v>700000</v>
      </c>
      <c r="F280" s="130">
        <v>500000</v>
      </c>
      <c r="I280" s="46"/>
    </row>
    <row r="281" spans="1:9" x14ac:dyDescent="0.25">
      <c r="A281" s="957" t="s">
        <v>1085</v>
      </c>
      <c r="B281" s="907" t="s">
        <v>691</v>
      </c>
      <c r="C281" s="203"/>
      <c r="D281" s="125"/>
      <c r="E281" s="203">
        <v>800000</v>
      </c>
      <c r="F281" s="130">
        <v>800000</v>
      </c>
      <c r="I281" s="46"/>
    </row>
    <row r="282" spans="1:9" x14ac:dyDescent="0.25">
      <c r="A282" s="957" t="s">
        <v>1086</v>
      </c>
      <c r="B282" s="907" t="s">
        <v>692</v>
      </c>
      <c r="C282" s="203"/>
      <c r="D282" s="125"/>
      <c r="E282" s="203">
        <v>500000</v>
      </c>
      <c r="F282" s="130">
        <v>500000</v>
      </c>
      <c r="I282" s="46"/>
    </row>
    <row r="283" spans="1:9" x14ac:dyDescent="0.25">
      <c r="A283" s="940"/>
      <c r="B283" s="907" t="s">
        <v>693</v>
      </c>
      <c r="C283" s="203"/>
      <c r="D283" s="125"/>
      <c r="E283" s="203">
        <v>500000</v>
      </c>
      <c r="F283" s="130"/>
      <c r="I283" s="46"/>
    </row>
    <row r="284" spans="1:9" ht="30" customHeight="1" x14ac:dyDescent="0.25">
      <c r="A284" s="940"/>
      <c r="B284" s="907" t="s">
        <v>920</v>
      </c>
      <c r="C284" s="203"/>
      <c r="D284" s="125"/>
      <c r="E284" s="203"/>
      <c r="F284" s="88">
        <v>1000000</v>
      </c>
      <c r="I284" s="46"/>
    </row>
    <row r="285" spans="1:9" x14ac:dyDescent="0.25">
      <c r="A285" s="940"/>
      <c r="B285" s="913" t="s">
        <v>921</v>
      </c>
      <c r="C285" s="203"/>
      <c r="D285" s="125"/>
      <c r="E285" s="203"/>
      <c r="F285" s="88">
        <v>2000000</v>
      </c>
      <c r="I285" s="46"/>
    </row>
    <row r="286" spans="1:9" ht="30" customHeight="1" x14ac:dyDescent="0.25">
      <c r="A286" s="940"/>
      <c r="B286" s="913" t="s">
        <v>922</v>
      </c>
      <c r="C286" s="203"/>
      <c r="D286" s="125"/>
      <c r="E286" s="203"/>
      <c r="F286" s="88">
        <v>3000000</v>
      </c>
      <c r="I286" s="46"/>
    </row>
    <row r="287" spans="1:9" ht="15" customHeight="1" x14ac:dyDescent="0.25">
      <c r="A287" s="943"/>
      <c r="B287" s="914" t="s">
        <v>990</v>
      </c>
      <c r="C287" s="58"/>
      <c r="D287" s="199"/>
      <c r="E287" s="58"/>
      <c r="F287" s="918">
        <v>400000</v>
      </c>
      <c r="I287" s="46"/>
    </row>
    <row r="288" spans="1:9" ht="15" customHeight="1" x14ac:dyDescent="0.25">
      <c r="A288" s="957" t="s">
        <v>1087</v>
      </c>
      <c r="B288" s="907" t="s">
        <v>95</v>
      </c>
      <c r="C288" s="203">
        <v>166000</v>
      </c>
      <c r="D288" s="125"/>
      <c r="E288" s="203">
        <v>500000</v>
      </c>
      <c r="F288" s="88">
        <v>500000</v>
      </c>
      <c r="I288" s="46"/>
    </row>
    <row r="289" spans="1:11" ht="15" customHeight="1" x14ac:dyDescent="0.25">
      <c r="A289" s="957" t="s">
        <v>1088</v>
      </c>
      <c r="B289" s="907" t="s">
        <v>97</v>
      </c>
      <c r="C289" s="203">
        <v>216475</v>
      </c>
      <c r="D289" s="125"/>
      <c r="E289" s="203">
        <v>500000</v>
      </c>
      <c r="F289" s="88">
        <v>500000</v>
      </c>
      <c r="I289" s="46"/>
    </row>
    <row r="290" spans="1:11" ht="15" customHeight="1" x14ac:dyDescent="0.25">
      <c r="A290" s="940"/>
      <c r="B290" s="907" t="s">
        <v>608</v>
      </c>
      <c r="C290" s="203">
        <v>614461.5</v>
      </c>
      <c r="D290" s="125"/>
      <c r="E290" s="203">
        <v>500000</v>
      </c>
      <c r="F290" s="88"/>
      <c r="G290" s="41" t="s">
        <v>779</v>
      </c>
      <c r="I290" s="46"/>
    </row>
    <row r="291" spans="1:11" ht="30" customHeight="1" x14ac:dyDescent="0.25">
      <c r="A291" s="974"/>
      <c r="B291" s="987" t="s">
        <v>1013</v>
      </c>
      <c r="C291" s="988"/>
      <c r="D291" s="984"/>
      <c r="E291" s="989"/>
      <c r="F291" s="984">
        <v>15000000</v>
      </c>
      <c r="G291" s="54"/>
      <c r="H291" s="54"/>
      <c r="I291" s="46"/>
    </row>
    <row r="292" spans="1:11" x14ac:dyDescent="0.25">
      <c r="A292" s="963"/>
      <c r="B292" s="968" t="s">
        <v>729</v>
      </c>
      <c r="C292" s="969">
        <f>SUM(C249:C291)</f>
        <v>9764253.4800000004</v>
      </c>
      <c r="D292" s="969">
        <f t="shared" ref="D292:F292" si="4">SUM(D249:D291)</f>
        <v>6419542.5</v>
      </c>
      <c r="E292" s="969">
        <f t="shared" si="4"/>
        <v>26130457.5</v>
      </c>
      <c r="F292" s="969">
        <f t="shared" si="4"/>
        <v>50512400</v>
      </c>
      <c r="I292" s="46"/>
    </row>
    <row r="293" spans="1:11" ht="30" customHeight="1" x14ac:dyDescent="0.25">
      <c r="A293" s="1005"/>
      <c r="B293" s="1009" t="s">
        <v>997</v>
      </c>
      <c r="C293" s="1010">
        <f>C248+C292</f>
        <v>51034652.560000002</v>
      </c>
      <c r="D293" s="1014">
        <f>D248+D292</f>
        <v>27298396.289999999</v>
      </c>
      <c r="E293" s="1021">
        <f>E248+E292</f>
        <v>60158203.710000001</v>
      </c>
      <c r="F293" s="1014">
        <f>F248+F292</f>
        <v>132418000</v>
      </c>
      <c r="G293" s="46"/>
      <c r="I293" s="41">
        <v>32000000</v>
      </c>
      <c r="J293" s="41" t="s">
        <v>591</v>
      </c>
    </row>
    <row r="294" spans="1:11" ht="45" customHeight="1" x14ac:dyDescent="0.25">
      <c r="A294" s="953" t="s">
        <v>1089</v>
      </c>
      <c r="B294" s="901" t="s">
        <v>857</v>
      </c>
      <c r="C294" s="883"/>
      <c r="D294" s="134"/>
      <c r="E294" s="862"/>
      <c r="F294" s="94"/>
    </row>
    <row r="295" spans="1:11" x14ac:dyDescent="0.25">
      <c r="A295" s="950" t="s">
        <v>1090</v>
      </c>
      <c r="B295" s="907" t="s">
        <v>80</v>
      </c>
      <c r="C295" s="882">
        <v>1236950</v>
      </c>
      <c r="D295" s="125">
        <v>659050</v>
      </c>
      <c r="E295" s="348">
        <v>597150</v>
      </c>
      <c r="F295" s="88">
        <v>1627160</v>
      </c>
      <c r="G295" s="41">
        <v>24400000</v>
      </c>
      <c r="H295" s="41" t="s">
        <v>599</v>
      </c>
    </row>
    <row r="296" spans="1:11" ht="15" customHeight="1" x14ac:dyDescent="0.25">
      <c r="A296" s="956" t="s">
        <v>1090</v>
      </c>
      <c r="B296" s="907" t="s">
        <v>51</v>
      </c>
      <c r="C296" s="204">
        <v>701860</v>
      </c>
      <c r="D296" s="125">
        <v>320250</v>
      </c>
      <c r="E296" s="348">
        <v>3129750</v>
      </c>
      <c r="F296" s="88"/>
      <c r="G296" s="46" t="e">
        <f>+#REF!-G295</f>
        <v>#REF!</v>
      </c>
      <c r="H296" s="41" t="s">
        <v>598</v>
      </c>
    </row>
    <row r="297" spans="1:11" ht="15" customHeight="1" x14ac:dyDescent="0.25">
      <c r="A297" s="950" t="s">
        <v>1090</v>
      </c>
      <c r="B297" s="907" t="s">
        <v>139</v>
      </c>
      <c r="C297" s="882"/>
      <c r="D297" s="125"/>
      <c r="E297" s="348">
        <v>0</v>
      </c>
      <c r="F297" s="88"/>
      <c r="G297" s="281"/>
      <c r="I297" s="46">
        <f>SUM(D295:E295)</f>
        <v>1256200</v>
      </c>
    </row>
    <row r="298" spans="1:11" ht="15" customHeight="1" x14ac:dyDescent="0.25">
      <c r="A298" s="955" t="s">
        <v>1090</v>
      </c>
      <c r="B298" s="907" t="s">
        <v>42</v>
      </c>
      <c r="C298" s="885"/>
      <c r="D298" s="140"/>
      <c r="E298" s="866">
        <v>0</v>
      </c>
      <c r="F298" s="98">
        <v>1471200</v>
      </c>
      <c r="I298" s="46">
        <f>SUM(D296:E296)</f>
        <v>3450000</v>
      </c>
    </row>
    <row r="299" spans="1:11" x14ac:dyDescent="0.25">
      <c r="A299" s="932"/>
      <c r="B299" s="907" t="s">
        <v>750</v>
      </c>
      <c r="C299" s="882"/>
      <c r="D299" s="125"/>
      <c r="E299" s="863">
        <v>500000</v>
      </c>
      <c r="F299" s="88">
        <v>500000</v>
      </c>
      <c r="G299" s="789">
        <v>3098360</v>
      </c>
      <c r="I299" s="46"/>
    </row>
    <row r="300" spans="1:11" x14ac:dyDescent="0.25">
      <c r="A300" s="932"/>
      <c r="B300" s="907" t="s">
        <v>95</v>
      </c>
      <c r="C300" s="882"/>
      <c r="D300" s="125"/>
      <c r="E300" s="863">
        <v>750000</v>
      </c>
      <c r="F300" s="88">
        <v>750000</v>
      </c>
      <c r="G300" s="281"/>
      <c r="K300" s="46"/>
    </row>
    <row r="301" spans="1:11" ht="15" customHeight="1" x14ac:dyDescent="0.25">
      <c r="A301" s="932"/>
      <c r="B301" s="907" t="s">
        <v>97</v>
      </c>
      <c r="C301" s="882"/>
      <c r="D301" s="125"/>
      <c r="E301" s="863">
        <v>750000</v>
      </c>
      <c r="F301" s="88"/>
      <c r="G301" s="54" t="s">
        <v>779</v>
      </c>
      <c r="H301" s="54"/>
      <c r="I301" s="46">
        <f>SUM(D299:E299)</f>
        <v>500000</v>
      </c>
    </row>
    <row r="302" spans="1:11" x14ac:dyDescent="0.25">
      <c r="A302" s="932"/>
      <c r="B302" s="907" t="s">
        <v>752</v>
      </c>
      <c r="C302" s="882"/>
      <c r="D302" s="125"/>
      <c r="E302" s="863">
        <v>500000</v>
      </c>
      <c r="F302" s="88"/>
      <c r="G302" s="54" t="s">
        <v>779</v>
      </c>
      <c r="H302" s="54"/>
      <c r="I302" s="46"/>
    </row>
    <row r="303" spans="1:11" x14ac:dyDescent="0.25">
      <c r="A303" s="940"/>
      <c r="B303" s="907" t="s">
        <v>608</v>
      </c>
      <c r="C303" s="203"/>
      <c r="D303" s="125"/>
      <c r="E303" s="863">
        <v>500000</v>
      </c>
      <c r="F303" s="88"/>
      <c r="G303" s="54" t="s">
        <v>779</v>
      </c>
      <c r="H303" s="54"/>
      <c r="I303" s="46"/>
    </row>
    <row r="304" spans="1:11" ht="45" customHeight="1" x14ac:dyDescent="0.25">
      <c r="A304" s="1005"/>
      <c r="B304" s="1009" t="s">
        <v>991</v>
      </c>
      <c r="C304" s="1010">
        <f>SUM(C294:C303)</f>
        <v>1938810</v>
      </c>
      <c r="D304" s="1010">
        <f>SUM(D294:D303)</f>
        <v>979300</v>
      </c>
      <c r="E304" s="1010">
        <f>SUM(E294:E303)</f>
        <v>6726900</v>
      </c>
      <c r="F304" s="1010">
        <f>SUM(F294:F303)</f>
        <v>4348360</v>
      </c>
      <c r="G304" s="41" t="s">
        <v>779</v>
      </c>
      <c r="I304" s="46"/>
    </row>
    <row r="305" spans="1:11" ht="30" customHeight="1" x14ac:dyDescent="0.25">
      <c r="A305" s="953" t="s">
        <v>1091</v>
      </c>
      <c r="B305" s="901" t="s">
        <v>858</v>
      </c>
      <c r="C305" s="883">
        <v>2425090</v>
      </c>
      <c r="D305" s="134"/>
      <c r="E305" s="862">
        <v>10000000</v>
      </c>
      <c r="F305" s="872">
        <v>5000000</v>
      </c>
      <c r="I305" s="46"/>
    </row>
    <row r="306" spans="1:11" x14ac:dyDescent="0.25">
      <c r="A306" s="932"/>
      <c r="B306" s="907" t="s">
        <v>750</v>
      </c>
      <c r="C306" s="882"/>
      <c r="D306" s="125"/>
      <c r="E306" s="348"/>
      <c r="F306" s="88">
        <v>500000</v>
      </c>
      <c r="I306" s="46"/>
    </row>
    <row r="307" spans="1:11" x14ac:dyDescent="0.25">
      <c r="A307" s="932"/>
      <c r="B307" s="907" t="s">
        <v>95</v>
      </c>
      <c r="C307" s="882"/>
      <c r="D307" s="125"/>
      <c r="E307" s="348"/>
      <c r="F307" s="88">
        <v>500000</v>
      </c>
      <c r="G307" s="281" t="e">
        <f>#REF!+G299</f>
        <v>#REF!</v>
      </c>
      <c r="K307" s="46"/>
    </row>
    <row r="308" spans="1:11" ht="30" customHeight="1" x14ac:dyDescent="0.25">
      <c r="A308" s="1005"/>
      <c r="B308" s="1009" t="s">
        <v>992</v>
      </c>
      <c r="C308" s="1010">
        <f>SUM(C305:C307)</f>
        <v>2425090</v>
      </c>
      <c r="D308" s="1010">
        <f>SUM(D305:D307)</f>
        <v>0</v>
      </c>
      <c r="E308" s="1010">
        <f>SUM(E305:E307)</f>
        <v>10000000</v>
      </c>
      <c r="F308" s="1010">
        <f>SUM(F305:F307)</f>
        <v>6000000</v>
      </c>
      <c r="G308" s="41" t="s">
        <v>779</v>
      </c>
      <c r="I308" s="46"/>
    </row>
    <row r="309" spans="1:11" ht="15" customHeight="1" x14ac:dyDescent="0.25">
      <c r="A309" s="955" t="s">
        <v>1092</v>
      </c>
      <c r="B309" s="901" t="s">
        <v>353</v>
      </c>
      <c r="C309" s="889">
        <v>9927910.2899999991</v>
      </c>
      <c r="D309" s="134"/>
      <c r="E309" s="862">
        <v>15000000</v>
      </c>
      <c r="F309" s="858">
        <v>5000000</v>
      </c>
      <c r="I309" s="46"/>
    </row>
    <row r="310" spans="1:11" x14ac:dyDescent="0.25">
      <c r="A310" s="932"/>
      <c r="B310" s="907" t="s">
        <v>750</v>
      </c>
      <c r="C310" s="882"/>
      <c r="D310" s="125"/>
      <c r="E310" s="863">
        <v>500000</v>
      </c>
      <c r="F310" s="88">
        <v>500000</v>
      </c>
      <c r="I310" s="46"/>
    </row>
    <row r="311" spans="1:11" x14ac:dyDescent="0.25">
      <c r="A311" s="932"/>
      <c r="B311" s="907" t="s">
        <v>95</v>
      </c>
      <c r="C311" s="882"/>
      <c r="D311" s="125"/>
      <c r="E311" s="863">
        <v>750000</v>
      </c>
      <c r="F311" s="88">
        <v>750000</v>
      </c>
      <c r="G311" s="281"/>
      <c r="K311" s="46"/>
    </row>
    <row r="312" spans="1:11" ht="15" customHeight="1" x14ac:dyDescent="0.25">
      <c r="A312" s="932"/>
      <c r="B312" s="907" t="s">
        <v>97</v>
      </c>
      <c r="C312" s="882"/>
      <c r="D312" s="125"/>
      <c r="E312" s="863">
        <v>750000</v>
      </c>
      <c r="F312" s="88"/>
      <c r="G312" s="54"/>
      <c r="H312" s="54"/>
      <c r="I312" s="46">
        <f>SUM(D310:E310)</f>
        <v>500000</v>
      </c>
    </row>
    <row r="313" spans="1:11" ht="15" customHeight="1" x14ac:dyDescent="0.25">
      <c r="A313" s="940"/>
      <c r="B313" s="907" t="s">
        <v>608</v>
      </c>
      <c r="C313" s="203"/>
      <c r="D313" s="125"/>
      <c r="E313" s="863">
        <v>1000000</v>
      </c>
      <c r="F313" s="88">
        <v>1000000</v>
      </c>
      <c r="G313" s="54" t="s">
        <v>779</v>
      </c>
      <c r="H313" s="54"/>
      <c r="I313" s="46">
        <f>SUM(D311:E311)</f>
        <v>750000</v>
      </c>
    </row>
    <row r="314" spans="1:11" x14ac:dyDescent="0.25">
      <c r="A314" s="1005"/>
      <c r="B314" s="1009" t="s">
        <v>993</v>
      </c>
      <c r="C314" s="1010">
        <f>SUM(C309:C313)</f>
        <v>9927910.2899999991</v>
      </c>
      <c r="D314" s="1010">
        <f t="shared" ref="D314:F314" si="5">SUM(D309:D313)</f>
        <v>0</v>
      </c>
      <c r="E314" s="1010">
        <f t="shared" si="5"/>
        <v>18000000</v>
      </c>
      <c r="F314" s="1010">
        <f t="shared" si="5"/>
        <v>7250000</v>
      </c>
      <c r="I314" s="46"/>
    </row>
    <row r="315" spans="1:11" ht="15" customHeight="1" x14ac:dyDescent="0.25">
      <c r="A315" s="953" t="s">
        <v>1093</v>
      </c>
      <c r="B315" s="901" t="s">
        <v>981</v>
      </c>
      <c r="C315" s="883"/>
      <c r="D315" s="134"/>
      <c r="E315" s="862"/>
      <c r="F315" s="94"/>
      <c r="I315" s="46"/>
    </row>
    <row r="316" spans="1:11" ht="15" customHeight="1" x14ac:dyDescent="0.25">
      <c r="A316" s="990"/>
      <c r="B316" s="991" t="s">
        <v>42</v>
      </c>
      <c r="C316" s="992">
        <v>4815000</v>
      </c>
      <c r="D316" s="993">
        <v>8355000</v>
      </c>
      <c r="E316" s="989">
        <v>11645000</v>
      </c>
      <c r="F316" s="993">
        <v>15000000</v>
      </c>
    </row>
    <row r="317" spans="1:11" ht="15" customHeight="1" x14ac:dyDescent="0.25">
      <c r="A317" s="932"/>
      <c r="B317" s="907" t="s">
        <v>750</v>
      </c>
      <c r="C317" s="882"/>
      <c r="D317" s="125"/>
      <c r="E317" s="863">
        <v>500000</v>
      </c>
      <c r="F317" s="88">
        <v>1000000</v>
      </c>
      <c r="G317" s="41" t="s">
        <v>779</v>
      </c>
      <c r="I317" s="46"/>
    </row>
    <row r="318" spans="1:11" ht="15" customHeight="1" x14ac:dyDescent="0.25">
      <c r="A318" s="932"/>
      <c r="B318" s="907" t="s">
        <v>95</v>
      </c>
      <c r="C318" s="882"/>
      <c r="D318" s="125"/>
      <c r="E318" s="863">
        <v>500000</v>
      </c>
      <c r="F318" s="88">
        <v>1000000</v>
      </c>
      <c r="G318" s="41" t="s">
        <v>779</v>
      </c>
      <c r="K318" s="46"/>
    </row>
    <row r="319" spans="1:11" ht="15" customHeight="1" x14ac:dyDescent="0.25">
      <c r="A319" s="932"/>
      <c r="B319" s="907" t="s">
        <v>97</v>
      </c>
      <c r="C319" s="882"/>
      <c r="D319" s="125"/>
      <c r="E319" s="863">
        <v>500000</v>
      </c>
      <c r="F319" s="88">
        <v>1000000</v>
      </c>
      <c r="G319" s="54" t="s">
        <v>779</v>
      </c>
      <c r="H319" s="54"/>
      <c r="I319" s="46">
        <f>SUM(D317:E317)</f>
        <v>500000</v>
      </c>
    </row>
    <row r="320" spans="1:11" ht="15" customHeight="1" x14ac:dyDescent="0.25">
      <c r="A320" s="932"/>
      <c r="B320" s="907" t="s">
        <v>102</v>
      </c>
      <c r="C320" s="882"/>
      <c r="D320" s="125"/>
      <c r="E320" s="863">
        <v>1000000</v>
      </c>
      <c r="F320" s="88">
        <v>1000000</v>
      </c>
      <c r="G320" s="54" t="s">
        <v>779</v>
      </c>
      <c r="H320" s="54"/>
      <c r="I320" s="46">
        <f>SUM(D318:E318)</f>
        <v>500000</v>
      </c>
    </row>
    <row r="321" spans="1:11" ht="15" customHeight="1" x14ac:dyDescent="0.25">
      <c r="A321" s="932"/>
      <c r="B321" s="907" t="s">
        <v>752</v>
      </c>
      <c r="C321" s="882"/>
      <c r="D321" s="125"/>
      <c r="E321" s="863">
        <v>500000</v>
      </c>
      <c r="F321" s="88">
        <v>1000000</v>
      </c>
      <c r="G321" s="54" t="s">
        <v>779</v>
      </c>
      <c r="H321" s="54"/>
      <c r="I321" s="46"/>
    </row>
    <row r="322" spans="1:11" ht="15" customHeight="1" x14ac:dyDescent="0.25">
      <c r="A322" s="963"/>
      <c r="B322" s="968" t="s">
        <v>994</v>
      </c>
      <c r="C322" s="969">
        <f>SUM(C315:C321)</f>
        <v>4815000</v>
      </c>
      <c r="D322" s="969">
        <f t="shared" ref="D322:F322" si="6">SUM(D315:D321)</f>
        <v>8355000</v>
      </c>
      <c r="E322" s="969">
        <f t="shared" si="6"/>
        <v>14645000</v>
      </c>
      <c r="F322" s="969">
        <f t="shared" si="6"/>
        <v>20000000</v>
      </c>
      <c r="G322" s="54"/>
      <c r="H322" s="54"/>
      <c r="I322" s="46"/>
    </row>
    <row r="323" spans="1:11" ht="30" customHeight="1" x14ac:dyDescent="0.25">
      <c r="A323" s="955" t="s">
        <v>1094</v>
      </c>
      <c r="B323" s="917" t="s">
        <v>913</v>
      </c>
      <c r="C323" s="889"/>
      <c r="D323" s="134"/>
      <c r="E323" s="862"/>
      <c r="F323" s="858">
        <v>12000000</v>
      </c>
      <c r="I323" s="46"/>
    </row>
    <row r="324" spans="1:11" ht="30" customHeight="1" x14ac:dyDescent="0.25">
      <c r="A324" s="1005"/>
      <c r="B324" s="1009" t="s">
        <v>995</v>
      </c>
      <c r="C324" s="1010">
        <f>C323</f>
        <v>0</v>
      </c>
      <c r="D324" s="1014">
        <f t="shared" ref="D324:F324" si="7">D323</f>
        <v>0</v>
      </c>
      <c r="E324" s="1021">
        <f t="shared" si="7"/>
        <v>0</v>
      </c>
      <c r="F324" s="1014">
        <f t="shared" si="7"/>
        <v>12000000</v>
      </c>
      <c r="I324" s="46"/>
    </row>
    <row r="325" spans="1:11" x14ac:dyDescent="0.25">
      <c r="A325" s="934"/>
      <c r="B325" s="1022" t="s">
        <v>998</v>
      </c>
      <c r="C325" s="883"/>
      <c r="D325" s="134"/>
      <c r="E325" s="862"/>
      <c r="F325" s="125"/>
      <c r="I325" s="46"/>
    </row>
    <row r="326" spans="1:11" x14ac:dyDescent="0.25">
      <c r="A326" s="943"/>
      <c r="B326" s="914" t="s">
        <v>925</v>
      </c>
      <c r="C326" s="58"/>
      <c r="D326" s="199"/>
      <c r="E326" s="58"/>
      <c r="F326" s="918">
        <v>200000</v>
      </c>
      <c r="I326" s="46" t="e">
        <f>SUM(#REF!)</f>
        <v>#REF!</v>
      </c>
    </row>
    <row r="327" spans="1:11" x14ac:dyDescent="0.25">
      <c r="A327" s="937"/>
      <c r="B327" s="907" t="s">
        <v>926</v>
      </c>
      <c r="C327" s="885"/>
      <c r="D327" s="140"/>
      <c r="E327" s="348"/>
      <c r="F327" s="98">
        <v>500000</v>
      </c>
      <c r="I327" s="46"/>
    </row>
    <row r="328" spans="1:11" x14ac:dyDescent="0.25">
      <c r="A328" s="932"/>
      <c r="B328" s="907" t="s">
        <v>42</v>
      </c>
      <c r="C328" s="882"/>
      <c r="D328" s="125"/>
      <c r="E328" s="348"/>
      <c r="F328" s="88"/>
      <c r="I328" s="46" t="e">
        <f>SUM(#REF!)</f>
        <v>#REF!</v>
      </c>
    </row>
    <row r="329" spans="1:11" x14ac:dyDescent="0.25">
      <c r="A329" s="943"/>
      <c r="B329" s="914" t="s">
        <v>657</v>
      </c>
      <c r="C329" s="58"/>
      <c r="D329" s="199"/>
      <c r="E329" s="58"/>
      <c r="F329" s="918">
        <v>2000000</v>
      </c>
      <c r="I329" s="46">
        <f>SUM(D327:E327)</f>
        <v>0</v>
      </c>
    </row>
    <row r="330" spans="1:11" x14ac:dyDescent="0.25">
      <c r="A330" s="932"/>
      <c r="B330" s="907" t="s">
        <v>904</v>
      </c>
      <c r="C330" s="882"/>
      <c r="D330" s="125"/>
      <c r="E330" s="863"/>
      <c r="F330" s="88">
        <v>2000000</v>
      </c>
      <c r="I330" s="46"/>
    </row>
    <row r="331" spans="1:11" x14ac:dyDescent="0.25">
      <c r="A331" s="932"/>
      <c r="B331" s="907" t="s">
        <v>927</v>
      </c>
      <c r="C331" s="882"/>
      <c r="D331" s="125"/>
      <c r="E331" s="863"/>
      <c r="F331" s="88">
        <v>1000000</v>
      </c>
      <c r="G331" s="281"/>
      <c r="K331" s="46"/>
    </row>
    <row r="332" spans="1:11" ht="15" customHeight="1" x14ac:dyDescent="0.25">
      <c r="A332" s="932"/>
      <c r="B332" s="907" t="s">
        <v>95</v>
      </c>
      <c r="C332" s="882"/>
      <c r="D332" s="125"/>
      <c r="E332" s="863"/>
      <c r="F332" s="88">
        <v>2000000</v>
      </c>
      <c r="G332" s="54"/>
      <c r="H332" s="54"/>
      <c r="I332" s="46">
        <f>SUM(D330:E330)</f>
        <v>0</v>
      </c>
    </row>
    <row r="333" spans="1:11" x14ac:dyDescent="0.25">
      <c r="A333" s="1005"/>
      <c r="B333" s="1009" t="s">
        <v>999</v>
      </c>
      <c r="C333" s="1010">
        <f>SUM(C325:C332)</f>
        <v>0</v>
      </c>
      <c r="D333" s="1010">
        <f>SUM(D325:D332)</f>
        <v>0</v>
      </c>
      <c r="E333" s="1010">
        <f>SUM(E325:E332)</f>
        <v>0</v>
      </c>
      <c r="F333" s="1010">
        <f>SUM(F325:F332)</f>
        <v>7700000</v>
      </c>
      <c r="G333" s="54"/>
      <c r="H333" s="54"/>
      <c r="I333" s="46"/>
    </row>
    <row r="334" spans="1:11" ht="20.100000000000001" customHeight="1" x14ac:dyDescent="0.25">
      <c r="A334" s="1034"/>
      <c r="B334" s="1038" t="s">
        <v>1123</v>
      </c>
      <c r="C334" s="1035">
        <f>C51+C82+C144+C172+C194+C204+C293+C304+C308+C314+C322+C324</f>
        <v>234306475.78</v>
      </c>
      <c r="D334" s="1036">
        <f>D51+D82+D144+D172+D194+D204+D293+D304+D308+D314+D322+D324</f>
        <v>64690295.210000001</v>
      </c>
      <c r="E334" s="1037">
        <f>E51+E82+E144+E172+E194+E204+E293+E304+E308+E314+E322+E324</f>
        <v>297702244.79000002</v>
      </c>
      <c r="F334" s="1036">
        <f>F51+F82+F144+F172+F194+F204+F293+F304+F308+F314+F322+F324+F333</f>
        <v>483505406</v>
      </c>
      <c r="G334" s="51" t="s">
        <v>968</v>
      </c>
    </row>
    <row r="335" spans="1:11" ht="15" customHeight="1" x14ac:dyDescent="0.25">
      <c r="A335" s="934"/>
      <c r="B335" s="1022" t="s">
        <v>190</v>
      </c>
      <c r="C335" s="883"/>
      <c r="D335" s="134"/>
      <c r="E335" s="862"/>
      <c r="F335" s="134"/>
      <c r="I335" s="46"/>
    </row>
    <row r="336" spans="1:11" x14ac:dyDescent="0.25">
      <c r="A336" s="945"/>
      <c r="B336" s="919" t="s">
        <v>210</v>
      </c>
      <c r="C336" s="890"/>
      <c r="D336" s="127"/>
      <c r="E336" s="870"/>
      <c r="F336" s="127"/>
      <c r="I336" s="46"/>
    </row>
    <row r="337" spans="1:8" ht="45" customHeight="1" x14ac:dyDescent="0.25">
      <c r="A337" s="950" t="s">
        <v>1095</v>
      </c>
      <c r="B337" s="902" t="s">
        <v>595</v>
      </c>
      <c r="C337" s="882">
        <v>31400</v>
      </c>
      <c r="D337" s="125"/>
      <c r="E337" s="348">
        <v>3000000</v>
      </c>
      <c r="F337" s="125">
        <v>3000000</v>
      </c>
      <c r="G337" s="41" t="s">
        <v>601</v>
      </c>
    </row>
    <row r="338" spans="1:8" x14ac:dyDescent="0.25">
      <c r="A338" s="1005"/>
      <c r="B338" s="1009" t="s">
        <v>191</v>
      </c>
      <c r="C338" s="1010">
        <f>SUM(C336:C337)</f>
        <v>31400</v>
      </c>
      <c r="D338" s="1014">
        <f>SUM(D336:D337)</f>
        <v>0</v>
      </c>
      <c r="E338" s="1021">
        <f>SUM(E336:E337)</f>
        <v>3000000</v>
      </c>
      <c r="F338" s="1014">
        <f>SUM(F336:F337)</f>
        <v>3000000</v>
      </c>
    </row>
    <row r="339" spans="1:8" x14ac:dyDescent="0.25">
      <c r="A339" s="934"/>
      <c r="B339" s="1023" t="s">
        <v>192</v>
      </c>
      <c r="C339" s="883"/>
      <c r="D339" s="134"/>
      <c r="E339" s="862"/>
      <c r="F339" s="134"/>
    </row>
    <row r="340" spans="1:8" x14ac:dyDescent="0.25">
      <c r="A340" s="945"/>
      <c r="B340" s="903" t="s">
        <v>400</v>
      </c>
      <c r="C340" s="890"/>
      <c r="D340" s="127"/>
      <c r="E340" s="870"/>
      <c r="F340" s="127"/>
      <c r="G340" s="46">
        <f>F338</f>
        <v>3000000</v>
      </c>
    </row>
    <row r="341" spans="1:8" ht="30" customHeight="1" x14ac:dyDescent="0.25">
      <c r="A341" s="950" t="s">
        <v>1096</v>
      </c>
      <c r="B341" s="902" t="s">
        <v>383</v>
      </c>
      <c r="C341" s="882"/>
      <c r="D341" s="125">
        <v>124000</v>
      </c>
      <c r="E341" s="348">
        <v>176000</v>
      </c>
      <c r="F341" s="125">
        <v>300000</v>
      </c>
    </row>
    <row r="342" spans="1:8" x14ac:dyDescent="0.25">
      <c r="A342" s="950" t="s">
        <v>1097</v>
      </c>
      <c r="B342" s="902" t="s">
        <v>448</v>
      </c>
      <c r="C342" s="882">
        <v>182901</v>
      </c>
      <c r="D342" s="125"/>
      <c r="E342" s="348">
        <v>500000</v>
      </c>
      <c r="F342" s="125">
        <v>500000</v>
      </c>
    </row>
    <row r="343" spans="1:8" x14ac:dyDescent="0.25">
      <c r="A343" s="950" t="s">
        <v>1098</v>
      </c>
      <c r="B343" s="902" t="s">
        <v>193</v>
      </c>
      <c r="C343" s="882">
        <v>100000</v>
      </c>
      <c r="D343" s="125"/>
      <c r="E343" s="348">
        <v>100000</v>
      </c>
      <c r="F343" s="125">
        <v>100000</v>
      </c>
      <c r="G343" s="41" t="s">
        <v>594</v>
      </c>
      <c r="H343" s="41" t="s">
        <v>596</v>
      </c>
    </row>
    <row r="344" spans="1:8" x14ac:dyDescent="0.25">
      <c r="A344" s="950" t="s">
        <v>1099</v>
      </c>
      <c r="B344" s="902" t="s">
        <v>194</v>
      </c>
      <c r="C344" s="882">
        <v>300000</v>
      </c>
      <c r="D344" s="125"/>
      <c r="E344" s="348">
        <v>300000</v>
      </c>
      <c r="F344" s="125">
        <v>300000</v>
      </c>
    </row>
    <row r="345" spans="1:8" ht="45" customHeight="1" x14ac:dyDescent="0.25">
      <c r="A345" s="950" t="s">
        <v>1100</v>
      </c>
      <c r="B345" s="923" t="s">
        <v>783</v>
      </c>
      <c r="C345" s="882">
        <v>641188.5</v>
      </c>
      <c r="D345" s="125"/>
      <c r="E345" s="348">
        <v>0</v>
      </c>
      <c r="F345" s="125"/>
    </row>
    <row r="346" spans="1:8" ht="15" customHeight="1" x14ac:dyDescent="0.25">
      <c r="A346" s="932"/>
      <c r="B346" s="924" t="s">
        <v>1000</v>
      </c>
      <c r="C346" s="882"/>
      <c r="D346" s="125"/>
      <c r="E346" s="348"/>
      <c r="F346" s="125">
        <v>10000</v>
      </c>
    </row>
    <row r="347" spans="1:8" ht="15" customHeight="1" x14ac:dyDescent="0.25">
      <c r="A347" s="932"/>
      <c r="B347" s="924" t="s">
        <v>1001</v>
      </c>
      <c r="C347" s="882"/>
      <c r="D347" s="125"/>
      <c r="E347" s="348"/>
      <c r="F347" s="125">
        <v>17800</v>
      </c>
      <c r="G347" s="41">
        <v>10686500</v>
      </c>
    </row>
    <row r="348" spans="1:8" ht="15" customHeight="1" x14ac:dyDescent="0.25">
      <c r="A348" s="932"/>
      <c r="B348" s="924" t="s">
        <v>1002</v>
      </c>
      <c r="C348" s="882"/>
      <c r="D348" s="125"/>
      <c r="E348" s="348"/>
      <c r="F348" s="125">
        <v>30000</v>
      </c>
    </row>
    <row r="349" spans="1:8" ht="15" customHeight="1" x14ac:dyDescent="0.25">
      <c r="A349" s="932"/>
      <c r="B349" s="924" t="s">
        <v>760</v>
      </c>
      <c r="C349" s="882"/>
      <c r="D349" s="125"/>
      <c r="E349" s="348"/>
      <c r="F349" s="125">
        <v>5000</v>
      </c>
    </row>
    <row r="350" spans="1:8" ht="15" customHeight="1" x14ac:dyDescent="0.25">
      <c r="A350" s="932"/>
      <c r="B350" s="924" t="s">
        <v>1003</v>
      </c>
      <c r="C350" s="882"/>
      <c r="D350" s="125"/>
      <c r="E350" s="348"/>
      <c r="F350" s="125">
        <v>100000</v>
      </c>
    </row>
    <row r="351" spans="1:8" ht="15" customHeight="1" x14ac:dyDescent="0.25">
      <c r="A351" s="932"/>
      <c r="B351" s="924" t="s">
        <v>1004</v>
      </c>
      <c r="C351" s="882"/>
      <c r="D351" s="125"/>
      <c r="E351" s="348"/>
      <c r="F351" s="125">
        <v>180800</v>
      </c>
    </row>
    <row r="352" spans="1:8" ht="15" customHeight="1" x14ac:dyDescent="0.25">
      <c r="A352" s="932"/>
      <c r="B352" s="902" t="s">
        <v>758</v>
      </c>
      <c r="C352" s="882"/>
      <c r="D352" s="125"/>
      <c r="E352" s="348">
        <v>1500000</v>
      </c>
      <c r="F352" s="125"/>
    </row>
    <row r="353" spans="1:7" ht="15" customHeight="1" x14ac:dyDescent="0.25">
      <c r="A353" s="932"/>
      <c r="B353" s="902" t="s">
        <v>759</v>
      </c>
      <c r="C353" s="882"/>
      <c r="D353" s="125"/>
      <c r="E353" s="348">
        <v>200000</v>
      </c>
      <c r="F353" s="125"/>
    </row>
    <row r="354" spans="1:7" ht="15" customHeight="1" x14ac:dyDescent="0.25">
      <c r="A354" s="932"/>
      <c r="B354" s="902" t="s">
        <v>782</v>
      </c>
      <c r="C354" s="882"/>
      <c r="D354" s="125"/>
      <c r="E354" s="348">
        <v>200000</v>
      </c>
      <c r="F354" s="88"/>
    </row>
    <row r="355" spans="1:7" ht="15" customHeight="1" x14ac:dyDescent="0.25">
      <c r="A355" s="932"/>
      <c r="B355" s="902" t="s">
        <v>760</v>
      </c>
      <c r="C355" s="882"/>
      <c r="D355" s="125">
        <v>2500</v>
      </c>
      <c r="E355" s="348">
        <v>47500</v>
      </c>
      <c r="F355" s="88"/>
    </row>
    <row r="356" spans="1:7" ht="15" customHeight="1" x14ac:dyDescent="0.25">
      <c r="A356" s="950" t="s">
        <v>1101</v>
      </c>
      <c r="B356" s="902" t="s">
        <v>761</v>
      </c>
      <c r="C356" s="882"/>
      <c r="D356" s="125">
        <v>1000</v>
      </c>
      <c r="E356" s="348">
        <v>52500</v>
      </c>
      <c r="F356" s="88"/>
    </row>
    <row r="357" spans="1:7" ht="15" customHeight="1" x14ac:dyDescent="0.25">
      <c r="A357" s="950"/>
      <c r="B357" s="902" t="s">
        <v>762</v>
      </c>
      <c r="C357" s="882"/>
      <c r="D357" s="125">
        <v>291800</v>
      </c>
      <c r="E357" s="348">
        <v>345400</v>
      </c>
      <c r="F357" s="88">
        <v>656400</v>
      </c>
    </row>
    <row r="358" spans="1:7" ht="15" customHeight="1" x14ac:dyDescent="0.25">
      <c r="A358" s="950" t="s">
        <v>1102</v>
      </c>
      <c r="B358" s="902" t="s">
        <v>345</v>
      </c>
      <c r="C358" s="882"/>
      <c r="D358" s="125">
        <v>137886</v>
      </c>
      <c r="E358" s="348">
        <v>562114</v>
      </c>
      <c r="F358" s="88">
        <v>700000</v>
      </c>
      <c r="G358" s="51"/>
    </row>
    <row r="359" spans="1:7" ht="15" customHeight="1" x14ac:dyDescent="0.25">
      <c r="A359" s="950" t="s">
        <v>1103</v>
      </c>
      <c r="B359" s="902" t="s">
        <v>197</v>
      </c>
      <c r="C359" s="882"/>
      <c r="D359" s="125"/>
      <c r="E359" s="348">
        <v>500000</v>
      </c>
      <c r="F359" s="88">
        <v>500000</v>
      </c>
      <c r="G359" s="46">
        <f>SUM(F346:F357)</f>
        <v>1000000</v>
      </c>
    </row>
    <row r="360" spans="1:7" ht="15" customHeight="1" x14ac:dyDescent="0.25">
      <c r="A360" s="950" t="s">
        <v>1104</v>
      </c>
      <c r="B360" s="902" t="s">
        <v>198</v>
      </c>
      <c r="C360" s="882"/>
      <c r="D360" s="125"/>
      <c r="E360" s="348">
        <v>10000</v>
      </c>
      <c r="F360" s="125">
        <v>10000</v>
      </c>
    </row>
    <row r="361" spans="1:7" ht="15" customHeight="1" x14ac:dyDescent="0.25">
      <c r="A361" s="950" t="s">
        <v>1105</v>
      </c>
      <c r="B361" s="902" t="s">
        <v>199</v>
      </c>
      <c r="C361" s="882"/>
      <c r="D361" s="125"/>
      <c r="E361" s="348">
        <v>30000</v>
      </c>
      <c r="F361" s="125">
        <v>30000</v>
      </c>
    </row>
    <row r="362" spans="1:7" ht="15" customHeight="1" x14ac:dyDescent="0.25">
      <c r="A362" s="932"/>
      <c r="B362" s="902" t="s">
        <v>200</v>
      </c>
      <c r="C362" s="882">
        <v>100000</v>
      </c>
      <c r="D362" s="125"/>
      <c r="E362" s="348">
        <v>100000</v>
      </c>
      <c r="F362" s="125">
        <v>100000</v>
      </c>
    </row>
    <row r="363" spans="1:7" ht="15" customHeight="1" x14ac:dyDescent="0.25">
      <c r="A363" s="932"/>
      <c r="B363" s="902" t="s">
        <v>201</v>
      </c>
      <c r="C363" s="882"/>
      <c r="D363" s="125"/>
      <c r="E363" s="348">
        <v>10000</v>
      </c>
      <c r="F363" s="125">
        <v>10000</v>
      </c>
    </row>
    <row r="364" spans="1:7" ht="15" customHeight="1" x14ac:dyDescent="0.25">
      <c r="A364" s="932"/>
      <c r="B364" s="902" t="s">
        <v>202</v>
      </c>
      <c r="C364" s="882"/>
      <c r="D364" s="125"/>
      <c r="E364" s="348">
        <v>10000</v>
      </c>
      <c r="F364" s="125">
        <v>10000</v>
      </c>
    </row>
    <row r="365" spans="1:7" ht="30" customHeight="1" x14ac:dyDescent="0.25">
      <c r="A365" s="932"/>
      <c r="B365" s="902" t="s">
        <v>401</v>
      </c>
      <c r="C365" s="882">
        <v>546074</v>
      </c>
      <c r="D365" s="125">
        <v>403355</v>
      </c>
      <c r="E365" s="348">
        <v>296645</v>
      </c>
      <c r="F365" s="125">
        <v>700000</v>
      </c>
    </row>
    <row r="366" spans="1:7" x14ac:dyDescent="0.25">
      <c r="A366" s="932"/>
      <c r="B366" s="902" t="s">
        <v>205</v>
      </c>
      <c r="C366" s="882"/>
      <c r="D366" s="125"/>
      <c r="E366" s="348">
        <v>200000</v>
      </c>
      <c r="F366" s="125">
        <v>200000</v>
      </c>
    </row>
    <row r="367" spans="1:7" x14ac:dyDescent="0.25">
      <c r="A367" s="1005"/>
      <c r="B367" s="1009" t="s">
        <v>191</v>
      </c>
      <c r="C367" s="1010">
        <f>SUM(C340:C366)</f>
        <v>1870163.5</v>
      </c>
      <c r="D367" s="1014">
        <f>SUM(D340:D366)</f>
        <v>960541</v>
      </c>
      <c r="E367" s="1021">
        <f>SUM(E340:E366)</f>
        <v>5140159</v>
      </c>
      <c r="F367" s="1014">
        <f>SUM(F341:F366)</f>
        <v>4460000</v>
      </c>
    </row>
    <row r="368" spans="1:7" ht="15" customHeight="1" x14ac:dyDescent="0.25">
      <c r="A368" s="934"/>
      <c r="B368" s="1023" t="s">
        <v>1121</v>
      </c>
      <c r="C368" s="883"/>
      <c r="D368" s="134"/>
      <c r="E368" s="862"/>
      <c r="F368" s="134"/>
    </row>
    <row r="369" spans="1:8" ht="30" customHeight="1" x14ac:dyDescent="0.25">
      <c r="A369" s="932"/>
      <c r="B369" s="902" t="s">
        <v>209</v>
      </c>
      <c r="C369" s="882">
        <v>1211200</v>
      </c>
      <c r="D369" s="125">
        <v>260000</v>
      </c>
      <c r="E369" s="348">
        <v>2040000</v>
      </c>
      <c r="F369" s="125">
        <v>2000000</v>
      </c>
    </row>
    <row r="370" spans="1:8" ht="124.5" customHeight="1" x14ac:dyDescent="0.25">
      <c r="A370" s="960" t="s">
        <v>1106</v>
      </c>
      <c r="B370" s="925" t="s">
        <v>1119</v>
      </c>
      <c r="C370" s="920">
        <v>24951838.82</v>
      </c>
      <c r="D370" s="921">
        <v>16780000</v>
      </c>
      <c r="E370" s="922">
        <v>23220000</v>
      </c>
      <c r="F370" s="349">
        <v>50000000</v>
      </c>
      <c r="G370" s="41" t="s">
        <v>1120</v>
      </c>
    </row>
    <row r="371" spans="1:8" ht="15" customHeight="1" x14ac:dyDescent="0.25">
      <c r="A371" s="1024"/>
      <c r="B371" s="1009" t="s">
        <v>191</v>
      </c>
      <c r="C371" s="1025">
        <f>SUM(C368:C370)</f>
        <v>26163038.82</v>
      </c>
      <c r="D371" s="1026">
        <f>SUM(D368:D370)</f>
        <v>17040000</v>
      </c>
      <c r="E371" s="1027">
        <f>SUM(E368:E370)</f>
        <v>25260000</v>
      </c>
      <c r="F371" s="1026">
        <f>SUM(F368:F370)</f>
        <v>52000000</v>
      </c>
    </row>
    <row r="372" spans="1:8" ht="15" customHeight="1" x14ac:dyDescent="0.25">
      <c r="A372" s="934"/>
      <c r="B372" s="1023" t="s">
        <v>387</v>
      </c>
      <c r="C372" s="883"/>
      <c r="D372" s="134"/>
      <c r="E372" s="862"/>
      <c r="F372" s="134"/>
    </row>
    <row r="373" spans="1:8" ht="15" customHeight="1" x14ac:dyDescent="0.25">
      <c r="A373" s="945"/>
      <c r="B373" s="903" t="s">
        <v>211</v>
      </c>
      <c r="C373" s="890"/>
      <c r="D373" s="127"/>
      <c r="E373" s="870"/>
      <c r="F373" s="127"/>
      <c r="G373" s="46">
        <f>F371</f>
        <v>52000000</v>
      </c>
    </row>
    <row r="374" spans="1:8" ht="15" customHeight="1" x14ac:dyDescent="0.25">
      <c r="A374" s="950" t="s">
        <v>1107</v>
      </c>
      <c r="B374" s="902" t="s">
        <v>212</v>
      </c>
      <c r="C374" s="882">
        <v>1158420.3999999999</v>
      </c>
      <c r="D374" s="125">
        <v>430945</v>
      </c>
      <c r="E374" s="348">
        <v>1069055</v>
      </c>
      <c r="F374" s="125">
        <v>1500000</v>
      </c>
    </row>
    <row r="375" spans="1:8" ht="15" customHeight="1" x14ac:dyDescent="0.25">
      <c r="A375" s="950"/>
      <c r="B375" s="902" t="s">
        <v>646</v>
      </c>
      <c r="C375" s="882">
        <v>329395</v>
      </c>
      <c r="D375" s="125">
        <v>39500</v>
      </c>
      <c r="E375" s="348">
        <v>460500</v>
      </c>
      <c r="F375" s="125">
        <v>500000</v>
      </c>
    </row>
    <row r="376" spans="1:8" ht="15" customHeight="1" x14ac:dyDescent="0.25">
      <c r="A376" s="950" t="s">
        <v>1108</v>
      </c>
      <c r="B376" s="902" t="s">
        <v>213</v>
      </c>
      <c r="C376" s="882">
        <v>98849.01</v>
      </c>
      <c r="D376" s="125">
        <v>70396.800000000003</v>
      </c>
      <c r="E376" s="348">
        <v>229603.20000000001</v>
      </c>
      <c r="F376" s="125">
        <v>300000</v>
      </c>
    </row>
    <row r="377" spans="1:8" ht="45" customHeight="1" x14ac:dyDescent="0.25">
      <c r="A377" s="950" t="s">
        <v>1109</v>
      </c>
      <c r="B377" s="902" t="s">
        <v>825</v>
      </c>
      <c r="C377" s="882">
        <v>312000</v>
      </c>
      <c r="D377" s="125">
        <v>156000</v>
      </c>
      <c r="E377" s="348">
        <v>144000</v>
      </c>
      <c r="F377" s="125">
        <v>312000</v>
      </c>
    </row>
    <row r="378" spans="1:8" x14ac:dyDescent="0.25">
      <c r="A378" s="950" t="s">
        <v>1110</v>
      </c>
      <c r="B378" s="902" t="s">
        <v>214</v>
      </c>
      <c r="C378" s="882">
        <v>7377000</v>
      </c>
      <c r="D378" s="125">
        <v>3743500</v>
      </c>
      <c r="E378" s="348">
        <v>3756500</v>
      </c>
      <c r="F378" s="125">
        <v>7500000</v>
      </c>
    </row>
    <row r="379" spans="1:8" x14ac:dyDescent="0.25">
      <c r="A379" s="950" t="s">
        <v>1111</v>
      </c>
      <c r="B379" s="902" t="s">
        <v>215</v>
      </c>
      <c r="C379" s="882"/>
      <c r="D379" s="125"/>
      <c r="E379" s="348">
        <v>50000</v>
      </c>
      <c r="F379" s="125">
        <v>50000</v>
      </c>
      <c r="G379" s="41" t="s">
        <v>840</v>
      </c>
    </row>
    <row r="380" spans="1:8" x14ac:dyDescent="0.25">
      <c r="A380" s="961"/>
      <c r="B380" s="903" t="s">
        <v>211</v>
      </c>
      <c r="C380" s="890"/>
      <c r="D380" s="127"/>
      <c r="E380" s="870"/>
      <c r="F380" s="127"/>
    </row>
    <row r="381" spans="1:8" x14ac:dyDescent="0.25">
      <c r="A381" s="950" t="s">
        <v>1112</v>
      </c>
      <c r="B381" s="902" t="s">
        <v>670</v>
      </c>
      <c r="C381" s="882"/>
      <c r="D381" s="125"/>
      <c r="E381" s="348"/>
      <c r="F381" s="125">
        <v>320000</v>
      </c>
    </row>
    <row r="382" spans="1:8" x14ac:dyDescent="0.25">
      <c r="A382" s="1005"/>
      <c r="B382" s="1009" t="s">
        <v>191</v>
      </c>
      <c r="C382" s="1010">
        <f>SUM(C374:C381)</f>
        <v>9275664.4100000001</v>
      </c>
      <c r="D382" s="1014">
        <f>SUM(D374:D381)</f>
        <v>4440341.8</v>
      </c>
      <c r="E382" s="1021">
        <f>SUM(E374:E381)</f>
        <v>5709658.2000000002</v>
      </c>
      <c r="F382" s="1014">
        <f>SUM(F374:F381)</f>
        <v>10482000</v>
      </c>
    </row>
    <row r="383" spans="1:8" ht="30" customHeight="1" x14ac:dyDescent="0.25">
      <c r="A383" s="934"/>
      <c r="B383" s="1023" t="s">
        <v>388</v>
      </c>
      <c r="C383" s="883"/>
      <c r="D383" s="134"/>
      <c r="E383" s="862"/>
      <c r="F383" s="134"/>
      <c r="G383" s="52" t="s">
        <v>731</v>
      </c>
      <c r="H383" s="52" t="s">
        <v>732</v>
      </c>
    </row>
    <row r="384" spans="1:8" ht="30" customHeight="1" x14ac:dyDescent="0.25">
      <c r="A384" s="950" t="s">
        <v>1113</v>
      </c>
      <c r="B384" s="902" t="s">
        <v>1118</v>
      </c>
      <c r="C384" s="882">
        <v>185000</v>
      </c>
      <c r="D384" s="125">
        <v>164000</v>
      </c>
      <c r="E384" s="348">
        <v>136000</v>
      </c>
      <c r="F384" s="125">
        <v>6920108.4800000004</v>
      </c>
      <c r="G384" s="46">
        <f>F382</f>
        <v>10482000</v>
      </c>
    </row>
    <row r="385" spans="1:8" x14ac:dyDescent="0.25">
      <c r="A385" s="1005"/>
      <c r="B385" s="1009" t="s">
        <v>191</v>
      </c>
      <c r="C385" s="1010">
        <f>SUM(C383:C384)</f>
        <v>185000</v>
      </c>
      <c r="D385" s="1014">
        <f>SUM(D383:D384)</f>
        <v>164000</v>
      </c>
      <c r="E385" s="1021">
        <f>SUM(E383:E384)</f>
        <v>136000</v>
      </c>
      <c r="F385" s="1014">
        <f>SUM(F383:F384)</f>
        <v>6920108.4800000004</v>
      </c>
    </row>
    <row r="386" spans="1:8" x14ac:dyDescent="0.25">
      <c r="A386" s="934"/>
      <c r="B386" s="1023" t="s">
        <v>221</v>
      </c>
      <c r="C386" s="883"/>
      <c r="D386" s="134"/>
      <c r="E386" s="862"/>
      <c r="F386" s="134"/>
    </row>
    <row r="387" spans="1:8" ht="30" customHeight="1" x14ac:dyDescent="0.25">
      <c r="A387" s="962" t="s">
        <v>1114</v>
      </c>
      <c r="B387" s="904" t="s">
        <v>222</v>
      </c>
      <c r="C387" s="891"/>
      <c r="D387" s="342"/>
      <c r="E387" s="871"/>
      <c r="F387" s="342"/>
      <c r="G387" s="46">
        <f>F385</f>
        <v>6920108.4800000004</v>
      </c>
    </row>
    <row r="388" spans="1:8" x14ac:dyDescent="0.25">
      <c r="A388" s="1028"/>
      <c r="B388" s="1009" t="s">
        <v>191</v>
      </c>
      <c r="C388" s="1029">
        <f>SUM(C387)</f>
        <v>0</v>
      </c>
      <c r="D388" s="1030">
        <f>SUM(D387)</f>
        <v>0</v>
      </c>
      <c r="E388" s="1031">
        <f>SUM(E387)</f>
        <v>0</v>
      </c>
      <c r="F388" s="1030">
        <f>SUM(F387)</f>
        <v>0</v>
      </c>
    </row>
    <row r="389" spans="1:8" x14ac:dyDescent="0.25">
      <c r="A389" s="934"/>
      <c r="B389" s="1023" t="s">
        <v>226</v>
      </c>
      <c r="C389" s="883"/>
      <c r="D389" s="134"/>
      <c r="E389" s="862"/>
      <c r="F389" s="134"/>
    </row>
    <row r="390" spans="1:8" x14ac:dyDescent="0.25">
      <c r="A390" s="950" t="s">
        <v>1115</v>
      </c>
      <c r="B390" s="902" t="s">
        <v>227</v>
      </c>
      <c r="C390" s="882"/>
      <c r="D390" s="125"/>
      <c r="E390" s="348"/>
      <c r="F390" s="125"/>
      <c r="G390" s="46">
        <f>F388</f>
        <v>0</v>
      </c>
    </row>
    <row r="391" spans="1:8" x14ac:dyDescent="0.25">
      <c r="A391" s="1005"/>
      <c r="B391" s="1009" t="s">
        <v>191</v>
      </c>
      <c r="C391" s="1010">
        <f>SUM(C390)</f>
        <v>0</v>
      </c>
      <c r="D391" s="1014">
        <f t="shared" ref="D391:F391" si="8">SUM(D390)</f>
        <v>0</v>
      </c>
      <c r="E391" s="1021">
        <f t="shared" si="8"/>
        <v>0</v>
      </c>
      <c r="F391" s="1014">
        <f t="shared" si="8"/>
        <v>0</v>
      </c>
    </row>
    <row r="392" spans="1:8" ht="20.100000000000001" customHeight="1" x14ac:dyDescent="0.25">
      <c r="A392" s="1032"/>
      <c r="B392" s="1033" t="s">
        <v>392</v>
      </c>
      <c r="C392" s="1039">
        <f>C334+C338+C367+C371+C382+C385+C388+C391+C333</f>
        <v>271831742.50999999</v>
      </c>
      <c r="D392" s="1040">
        <f>D334+D338+D367+D371+D382+D385+D388+D391+D333</f>
        <v>87295178.010000005</v>
      </c>
      <c r="E392" s="1041">
        <f>E334+E338+E367+E371+E382+E385+E388+E391+E333</f>
        <v>336948061.99000001</v>
      </c>
      <c r="F392" s="1040">
        <f>F334+F338+F367+F371+F382+F385+F388+F391</f>
        <v>560367514.48000002</v>
      </c>
      <c r="G392" s="49">
        <v>548647406</v>
      </c>
    </row>
    <row r="393" spans="1:8" x14ac:dyDescent="0.25">
      <c r="G393" s="46">
        <f>CMO_SPPA_TOTAL-G392</f>
        <v>11720108.480000019</v>
      </c>
    </row>
    <row r="394" spans="1:8" s="50" customFormat="1" x14ac:dyDescent="0.25">
      <c r="A394" s="946"/>
      <c r="B394" s="41"/>
      <c r="C394" s="41"/>
      <c r="D394" s="41"/>
      <c r="E394" s="41"/>
      <c r="F394" s="41"/>
      <c r="G394" s="727"/>
      <c r="H394" s="282">
        <f>SUM(D392:E392)</f>
        <v>424243240</v>
      </c>
    </row>
    <row r="396" spans="1:8" x14ac:dyDescent="0.25">
      <c r="G396" s="49">
        <v>1216451889</v>
      </c>
      <c r="H396" s="49">
        <v>1605170968</v>
      </c>
    </row>
    <row r="397" spans="1:8" x14ac:dyDescent="0.25">
      <c r="G397" s="49"/>
    </row>
    <row r="404" spans="2:2" x14ac:dyDescent="0.25">
      <c r="B404" s="41">
        <v>2023</v>
      </c>
    </row>
    <row r="405" spans="2:2" x14ac:dyDescent="0.25">
      <c r="B405" s="41" t="s">
        <v>836</v>
      </c>
    </row>
    <row r="406" spans="2:2" x14ac:dyDescent="0.25">
      <c r="B406" s="41" t="s">
        <v>837</v>
      </c>
    </row>
  </sheetData>
  <mergeCells count="9">
    <mergeCell ref="A6:A8"/>
    <mergeCell ref="A1:F1"/>
    <mergeCell ref="A2:F2"/>
    <mergeCell ref="A3:F3"/>
    <mergeCell ref="A4:F4"/>
    <mergeCell ref="B6:B8"/>
    <mergeCell ref="C6:C8"/>
    <mergeCell ref="D6:E7"/>
    <mergeCell ref="F6:F8"/>
  </mergeCells>
  <printOptions horizontalCentered="1"/>
  <pageMargins left="0.35433070866141736" right="0.23622047244094491" top="0.74803149606299213" bottom="0.74803149606299213" header="0.31496062992125984" footer="0.31496062992125984"/>
  <pageSetup paperSize="14" scale="76" firstPageNumber="488" fitToHeight="0" orientation="portrait" useFirstPageNumber="1" horizontalDpi="360" verticalDpi="360" r:id="rId1"/>
  <headerFooter scaleWithDoc="0">
    <oddFooter>&amp;C&amp;"Candara,Regular"&amp;10Page &amp;"Candara,Bold"&amp;P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K96"/>
  <sheetViews>
    <sheetView view="pageBreakPreview" topLeftCell="A4" zoomScale="85" zoomScaleNormal="130" zoomScaleSheetLayoutView="85" workbookViewId="0">
      <pane xSplit="2" ySplit="5" topLeftCell="C36" activePane="bottomRight" state="frozen"/>
      <selection activeCell="C40" sqref="C40"/>
      <selection pane="topRight" activeCell="C40" sqref="C40"/>
      <selection pane="bottomLeft" activeCell="C40" sqref="C40"/>
      <selection pane="bottomRight" activeCell="K54" sqref="K54"/>
    </sheetView>
  </sheetViews>
  <sheetFormatPr defaultColWidth="9.140625" defaultRowHeight="15" x14ac:dyDescent="0.25"/>
  <cols>
    <col min="1" max="1" width="37.7109375" style="41" customWidth="1"/>
    <col min="2" max="2" width="12.7109375" style="41" customWidth="1"/>
    <col min="3" max="7" width="14.7109375" style="41" customWidth="1"/>
    <col min="8" max="8" width="13.85546875" style="279" customWidth="1"/>
    <col min="9" max="9" width="13.855468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165</v>
      </c>
      <c r="B4" s="1075"/>
      <c r="C4" s="1075"/>
      <c r="D4" s="1075"/>
      <c r="E4" s="1075"/>
      <c r="F4" s="1075"/>
      <c r="G4" s="1075"/>
    </row>
    <row r="6" spans="1:9" s="43" customFormat="1" ht="12" x14ac:dyDescent="0.2">
      <c r="A6" s="1099" t="s">
        <v>1</v>
      </c>
      <c r="B6" s="1099" t="s">
        <v>2</v>
      </c>
      <c r="C6" s="1099" t="s">
        <v>310</v>
      </c>
      <c r="D6" s="1100" t="s">
        <v>307</v>
      </c>
      <c r="E6" s="1100"/>
      <c r="F6" s="1100"/>
      <c r="G6" s="1099" t="s">
        <v>311</v>
      </c>
      <c r="H6" s="357"/>
      <c r="I6" s="1046"/>
    </row>
    <row r="7" spans="1:9" s="43" customFormat="1" ht="12" x14ac:dyDescent="0.2">
      <c r="A7" s="1099"/>
      <c r="B7" s="1099"/>
      <c r="C7" s="1099"/>
      <c r="D7" s="1100"/>
      <c r="E7" s="1100"/>
      <c r="F7" s="1100"/>
      <c r="G7" s="1099"/>
      <c r="H7" s="357"/>
      <c r="I7" s="1046"/>
    </row>
    <row r="8" spans="1:9" s="43" customFormat="1" ht="24" x14ac:dyDescent="0.2">
      <c r="A8" s="1099"/>
      <c r="B8" s="1099"/>
      <c r="C8" s="1099"/>
      <c r="D8" s="359" t="s">
        <v>308</v>
      </c>
      <c r="E8" s="359" t="s">
        <v>309</v>
      </c>
      <c r="F8" s="359" t="s">
        <v>3</v>
      </c>
      <c r="G8" s="1099"/>
      <c r="H8" s="357"/>
      <c r="I8" s="1046"/>
    </row>
    <row r="9" spans="1:9" s="70" customFormat="1" ht="11.25" x14ac:dyDescent="0.25">
      <c r="A9" s="360">
        <v>1</v>
      </c>
      <c r="B9" s="360">
        <v>2</v>
      </c>
      <c r="C9" s="360">
        <v>3</v>
      </c>
      <c r="D9" s="360">
        <v>4</v>
      </c>
      <c r="E9" s="360">
        <v>5</v>
      </c>
      <c r="F9" s="360">
        <v>6</v>
      </c>
      <c r="G9" s="360">
        <v>7</v>
      </c>
      <c r="H9" s="567" t="s">
        <v>497</v>
      </c>
      <c r="I9" s="1047"/>
    </row>
    <row r="10" spans="1:9" ht="15" customHeight="1" x14ac:dyDescent="0.25">
      <c r="A10" s="429" t="s">
        <v>4</v>
      </c>
      <c r="B10" s="362"/>
      <c r="C10" s="430"/>
      <c r="D10" s="363"/>
      <c r="E10" s="430"/>
      <c r="F10" s="363"/>
      <c r="G10" s="431"/>
      <c r="H10" s="17">
        <v>12</v>
      </c>
    </row>
    <row r="11" spans="1:9" ht="15" customHeight="1" x14ac:dyDescent="0.25">
      <c r="A11" s="403" t="s">
        <v>5</v>
      </c>
      <c r="B11" s="365"/>
      <c r="C11" s="404"/>
      <c r="D11" s="366"/>
      <c r="E11" s="404"/>
      <c r="F11" s="366"/>
      <c r="G11" s="405"/>
      <c r="H11" s="367"/>
    </row>
    <row r="12" spans="1:9" ht="15" customHeight="1" x14ac:dyDescent="0.25">
      <c r="A12" s="373" t="str">
        <f>"Salaries and Wages - Regular (" &amp; H10 &amp; ")"</f>
        <v>Salaries and Wages - Regular (12)</v>
      </c>
      <c r="B12" s="352" t="s">
        <v>6</v>
      </c>
      <c r="C12" s="406">
        <v>1646134.26</v>
      </c>
      <c r="D12" s="369">
        <v>1162304</v>
      </c>
      <c r="E12" s="406">
        <f>F12-D12</f>
        <v>1423290</v>
      </c>
      <c r="F12" s="369">
        <v>2585594</v>
      </c>
      <c r="G12" s="408">
        <f>H12+I12</f>
        <v>3099546</v>
      </c>
      <c r="H12" s="569">
        <v>2955546</v>
      </c>
      <c r="I12" s="49">
        <f>I14/2</f>
        <v>144000</v>
      </c>
    </row>
    <row r="13" spans="1:9" ht="15" customHeight="1" x14ac:dyDescent="0.25">
      <c r="A13" s="403" t="s">
        <v>7</v>
      </c>
      <c r="B13" s="365"/>
      <c r="C13" s="404"/>
      <c r="D13" s="366"/>
      <c r="E13" s="404"/>
      <c r="F13" s="366"/>
      <c r="G13" s="405"/>
      <c r="H13" s="367"/>
    </row>
    <row r="14" spans="1:9" ht="15" customHeight="1" x14ac:dyDescent="0.25">
      <c r="A14" s="373" t="s">
        <v>8</v>
      </c>
      <c r="B14" s="352" t="s">
        <v>9</v>
      </c>
      <c r="C14" s="406">
        <v>140000</v>
      </c>
      <c r="D14" s="369">
        <v>144000</v>
      </c>
      <c r="E14" s="406">
        <f t="shared" ref="E14:E23" si="0">F14-D14</f>
        <v>144000</v>
      </c>
      <c r="F14" s="369">
        <v>288000</v>
      </c>
      <c r="G14" s="408">
        <f>param_pera*CSU_PLATILLA_ITEMS*12</f>
        <v>288000</v>
      </c>
      <c r="H14" s="568"/>
      <c r="I14" s="49">
        <v>288000</v>
      </c>
    </row>
    <row r="15" spans="1:9" ht="15" customHeight="1" x14ac:dyDescent="0.25">
      <c r="A15" s="373" t="s">
        <v>15</v>
      </c>
      <c r="B15" s="352" t="s">
        <v>16</v>
      </c>
      <c r="C15" s="406">
        <v>42000</v>
      </c>
      <c r="D15" s="369">
        <v>36000</v>
      </c>
      <c r="E15" s="406">
        <f t="shared" si="0"/>
        <v>36000</v>
      </c>
      <c r="F15" s="369">
        <v>72000</v>
      </c>
      <c r="G15" s="408">
        <f>param_uniform*CSU_PLATILLA_ITEMS</f>
        <v>72000</v>
      </c>
      <c r="H15" s="568"/>
    </row>
    <row r="16" spans="1:9" ht="15" customHeight="1" x14ac:dyDescent="0.25">
      <c r="A16" s="373" t="s">
        <v>10</v>
      </c>
      <c r="B16" s="352" t="s">
        <v>175</v>
      </c>
      <c r="C16" s="406"/>
      <c r="D16" s="369"/>
      <c r="E16" s="406">
        <f t="shared" si="0"/>
        <v>237215</v>
      </c>
      <c r="F16" s="369">
        <v>237215</v>
      </c>
      <c r="G16" s="408"/>
      <c r="H16" s="568"/>
    </row>
    <row r="17" spans="1:11" ht="15" customHeight="1" x14ac:dyDescent="0.25">
      <c r="A17" s="373" t="s">
        <v>17</v>
      </c>
      <c r="B17" s="352" t="s">
        <v>18</v>
      </c>
      <c r="C17" s="406">
        <v>143140</v>
      </c>
      <c r="D17" s="369"/>
      <c r="E17" s="406">
        <f t="shared" si="0"/>
        <v>60000</v>
      </c>
      <c r="F17" s="369">
        <v>60000</v>
      </c>
      <c r="G17" s="408">
        <f>H12/12+I17</f>
        <v>318295.5</v>
      </c>
      <c r="H17" s="568"/>
      <c r="I17" s="49">
        <f>I14/4</f>
        <v>72000</v>
      </c>
    </row>
    <row r="18" spans="1:11" ht="15" customHeight="1" x14ac:dyDescent="0.25">
      <c r="A18" s="373" t="s">
        <v>19</v>
      </c>
      <c r="B18" s="352" t="s">
        <v>20</v>
      </c>
      <c r="C18" s="406">
        <v>35000</v>
      </c>
      <c r="D18" s="369"/>
      <c r="E18" s="406">
        <f t="shared" si="0"/>
        <v>35000</v>
      </c>
      <c r="F18" s="369">
        <v>35000</v>
      </c>
      <c r="G18" s="408">
        <f>param_cash_gift*CSU_PLATILLA_ITEMS</f>
        <v>60000</v>
      </c>
      <c r="H18" s="568"/>
    </row>
    <row r="19" spans="1:11" ht="15" customHeight="1" x14ac:dyDescent="0.25">
      <c r="A19" s="403" t="s">
        <v>21</v>
      </c>
      <c r="B19" s="365"/>
      <c r="C19" s="404"/>
      <c r="D19" s="366"/>
      <c r="E19" s="404"/>
      <c r="F19" s="366"/>
      <c r="G19" s="405"/>
      <c r="H19" s="568"/>
    </row>
    <row r="20" spans="1:11" ht="15" customHeight="1" x14ac:dyDescent="0.25">
      <c r="A20" s="373" t="s">
        <v>22</v>
      </c>
      <c r="B20" s="352" t="s">
        <v>23</v>
      </c>
      <c r="C20" s="406">
        <v>188947.71</v>
      </c>
      <c r="D20" s="369">
        <v>139476.48000000001</v>
      </c>
      <c r="E20" s="406">
        <f t="shared" si="0"/>
        <v>170794.80000000002</v>
      </c>
      <c r="F20" s="369">
        <v>310271.28000000003</v>
      </c>
      <c r="G20" s="408">
        <f>H12*12%</f>
        <v>354665.51999999996</v>
      </c>
      <c r="H20" s="568"/>
      <c r="K20" s="41" t="s">
        <v>610</v>
      </c>
    </row>
    <row r="21" spans="1:11" ht="15" customHeight="1" x14ac:dyDescent="0.25">
      <c r="A21" s="373" t="s">
        <v>24</v>
      </c>
      <c r="B21" s="352" t="s">
        <v>25</v>
      </c>
      <c r="C21" s="406">
        <v>7700</v>
      </c>
      <c r="D21" s="369">
        <v>10800</v>
      </c>
      <c r="E21" s="406">
        <f t="shared" si="0"/>
        <v>10800</v>
      </c>
      <c r="F21" s="369">
        <v>21600</v>
      </c>
      <c r="G21" s="408">
        <f>param_pagibig*CSU_PLATILLA_ITEMS*12</f>
        <v>21600</v>
      </c>
      <c r="H21" s="568"/>
    </row>
    <row r="22" spans="1:11" ht="15" customHeight="1" x14ac:dyDescent="0.25">
      <c r="A22" s="373" t="s">
        <v>26</v>
      </c>
      <c r="B22" s="352" t="s">
        <v>27</v>
      </c>
      <c r="C22" s="406">
        <v>23200.48</v>
      </c>
      <c r="D22" s="369">
        <v>27500</v>
      </c>
      <c r="E22" s="406">
        <f t="shared" si="0"/>
        <v>27500</v>
      </c>
      <c r="F22" s="369">
        <v>55000</v>
      </c>
      <c r="G22" s="408">
        <f>ROUND(H22+(H22*0.1), -1)</f>
        <v>65020</v>
      </c>
      <c r="H22" s="568">
        <v>59110.92000000002</v>
      </c>
    </row>
    <row r="23" spans="1:11" ht="15" customHeight="1" x14ac:dyDescent="0.25">
      <c r="A23" s="373" t="s">
        <v>28</v>
      </c>
      <c r="B23" s="352" t="s">
        <v>29</v>
      </c>
      <c r="C23" s="406">
        <v>7700</v>
      </c>
      <c r="D23" s="369">
        <v>10800</v>
      </c>
      <c r="E23" s="406">
        <f t="shared" si="0"/>
        <v>10800</v>
      </c>
      <c r="F23" s="369">
        <v>21600</v>
      </c>
      <c r="G23" s="408">
        <f>param_ecc*CSU_PLATILLA_ITEMS*12</f>
        <v>21600</v>
      </c>
      <c r="H23" s="568"/>
    </row>
    <row r="24" spans="1:11" ht="15" customHeight="1" x14ac:dyDescent="0.25">
      <c r="A24" s="403" t="s">
        <v>30</v>
      </c>
      <c r="B24" s="365"/>
      <c r="C24" s="404"/>
      <c r="D24" s="366"/>
      <c r="E24" s="404"/>
      <c r="F24" s="366"/>
      <c r="G24" s="405"/>
      <c r="H24" s="568"/>
    </row>
    <row r="25" spans="1:11" ht="15" customHeight="1" x14ac:dyDescent="0.25">
      <c r="A25" s="373" t="s">
        <v>30</v>
      </c>
      <c r="B25" s="352" t="s">
        <v>33</v>
      </c>
      <c r="C25" s="406"/>
      <c r="D25" s="369"/>
      <c r="E25" s="369"/>
      <c r="F25" s="369"/>
      <c r="G25" s="408"/>
      <c r="H25" s="568"/>
    </row>
    <row r="26" spans="1:11" ht="15" customHeight="1" x14ac:dyDescent="0.25">
      <c r="A26" s="434" t="s">
        <v>332</v>
      </c>
      <c r="B26" s="352"/>
      <c r="C26" s="406">
        <v>143140</v>
      </c>
      <c r="D26" s="369">
        <v>185017.8</v>
      </c>
      <c r="E26" s="406">
        <f t="shared" ref="E26:E28" si="1">F26-D26</f>
        <v>0</v>
      </c>
      <c r="F26" s="369">
        <v>185017.8</v>
      </c>
      <c r="G26" s="408">
        <f>H12/12+I26</f>
        <v>318295.5</v>
      </c>
      <c r="H26" s="573">
        <f>SUM(G26:G31)</f>
        <v>438295.5</v>
      </c>
      <c r="I26" s="49">
        <f>I14/4</f>
        <v>72000</v>
      </c>
    </row>
    <row r="27" spans="1:11" ht="15" customHeight="1" x14ac:dyDescent="0.25">
      <c r="A27" s="434" t="s">
        <v>333</v>
      </c>
      <c r="B27" s="352"/>
      <c r="C27" s="406">
        <v>35000</v>
      </c>
      <c r="D27" s="369"/>
      <c r="E27" s="406">
        <f t="shared" si="1"/>
        <v>60000</v>
      </c>
      <c r="F27" s="369">
        <v>60000</v>
      </c>
      <c r="G27" s="408">
        <f>param_pei*CSU_PLATILLA_ITEMS</f>
        <v>60000</v>
      </c>
      <c r="H27" s="568"/>
    </row>
    <row r="28" spans="1:11" ht="30" customHeight="1" x14ac:dyDescent="0.25">
      <c r="A28" s="434" t="s">
        <v>649</v>
      </c>
      <c r="B28" s="352"/>
      <c r="C28" s="406"/>
      <c r="D28" s="369"/>
      <c r="E28" s="406">
        <f t="shared" si="1"/>
        <v>60000</v>
      </c>
      <c r="F28" s="369">
        <v>60000</v>
      </c>
      <c r="G28" s="408">
        <f>param_pbb*CSU_PLATILLA_ITEMS</f>
        <v>60000</v>
      </c>
      <c r="H28" s="568"/>
    </row>
    <row r="29" spans="1:11" ht="15" customHeight="1" x14ac:dyDescent="0.25">
      <c r="A29" s="513" t="s">
        <v>650</v>
      </c>
      <c r="B29" s="479"/>
      <c r="C29" s="381">
        <v>175000</v>
      </c>
      <c r="D29" s="381"/>
      <c r="E29" s="381"/>
      <c r="F29" s="381"/>
      <c r="G29" s="381"/>
      <c r="H29" s="375"/>
    </row>
    <row r="30" spans="1:11" ht="15" customHeight="1" x14ac:dyDescent="0.25">
      <c r="A30" s="376" t="s">
        <v>652</v>
      </c>
      <c r="B30" s="352"/>
      <c r="C30" s="369"/>
      <c r="D30" s="369"/>
      <c r="E30" s="369"/>
      <c r="F30" s="369"/>
      <c r="G30" s="369"/>
      <c r="H30" s="375"/>
    </row>
    <row r="31" spans="1:11" ht="15" customHeight="1" x14ac:dyDescent="0.25">
      <c r="A31" s="378" t="s">
        <v>653</v>
      </c>
      <c r="B31" s="379"/>
      <c r="C31" s="380">
        <v>70000</v>
      </c>
      <c r="D31" s="380"/>
      <c r="E31" s="381"/>
      <c r="F31" s="380"/>
      <c r="G31" s="380"/>
      <c r="H31" s="375"/>
    </row>
    <row r="32" spans="1:11" ht="15" customHeight="1" x14ac:dyDescent="0.25">
      <c r="A32" s="396" t="s">
        <v>34</v>
      </c>
      <c r="B32" s="397"/>
      <c r="C32" s="398">
        <f>SUM(C11:C31)</f>
        <v>2656962.4500000002</v>
      </c>
      <c r="D32" s="398">
        <f>SUM(D11:D31)</f>
        <v>1715898.28</v>
      </c>
      <c r="E32" s="398">
        <f>SUM(E11:E31)</f>
        <v>2275399.7999999998</v>
      </c>
      <c r="F32" s="398">
        <f>SUM(F11:F31)</f>
        <v>3991298.08</v>
      </c>
      <c r="G32" s="398">
        <f>SUM(G11:G31)</f>
        <v>4739022.5199999996</v>
      </c>
      <c r="H32" s="606"/>
    </row>
    <row r="33" spans="1:9" ht="15" customHeight="1" x14ac:dyDescent="0.25">
      <c r="A33" s="429" t="s">
        <v>35</v>
      </c>
      <c r="B33" s="362"/>
      <c r="C33" s="430"/>
      <c r="D33" s="363"/>
      <c r="E33" s="430"/>
      <c r="F33" s="363"/>
      <c r="G33" s="431"/>
      <c r="H33" s="367"/>
    </row>
    <row r="34" spans="1:9" x14ac:dyDescent="0.25">
      <c r="A34" s="403" t="s">
        <v>55</v>
      </c>
      <c r="B34" s="365"/>
      <c r="C34" s="404"/>
      <c r="D34" s="366"/>
      <c r="E34" s="406"/>
      <c r="F34" s="366"/>
      <c r="G34" s="405"/>
      <c r="H34" s="367"/>
    </row>
    <row r="35" spans="1:9" x14ac:dyDescent="0.25">
      <c r="A35" s="373" t="s">
        <v>56</v>
      </c>
      <c r="B35" s="352" t="s">
        <v>57</v>
      </c>
      <c r="C35" s="406">
        <v>13350</v>
      </c>
      <c r="D35" s="369">
        <v>5160</v>
      </c>
      <c r="E35" s="406">
        <f t="shared" ref="E35" si="2">F35-D35</f>
        <v>10840</v>
      </c>
      <c r="F35" s="369">
        <v>16000</v>
      </c>
      <c r="G35" s="408"/>
      <c r="H35" s="367"/>
    </row>
    <row r="36" spans="1:9" ht="15" customHeight="1" x14ac:dyDescent="0.25">
      <c r="A36" s="403" t="s">
        <v>58</v>
      </c>
      <c r="B36" s="352"/>
      <c r="C36" s="406">
        <v>179950</v>
      </c>
      <c r="D36" s="369"/>
      <c r="E36" s="406"/>
      <c r="F36" s="369"/>
      <c r="G36" s="408"/>
      <c r="H36" s="41"/>
    </row>
    <row r="37" spans="1:9" ht="15" customHeight="1" x14ac:dyDescent="0.25">
      <c r="A37" s="373" t="s">
        <v>61</v>
      </c>
      <c r="B37" s="352" t="s">
        <v>62</v>
      </c>
      <c r="C37" s="406"/>
      <c r="D37" s="369">
        <v>11994</v>
      </c>
      <c r="E37" s="406">
        <f>F37-D37</f>
        <v>24006</v>
      </c>
      <c r="F37" s="369">
        <v>36000</v>
      </c>
      <c r="G37" s="369">
        <v>36000</v>
      </c>
      <c r="H37" s="371"/>
    </row>
    <row r="38" spans="1:9" x14ac:dyDescent="0.25">
      <c r="A38" s="403" t="s">
        <v>79</v>
      </c>
      <c r="B38" s="365"/>
      <c r="C38" s="404"/>
      <c r="D38" s="366"/>
      <c r="E38" s="406"/>
      <c r="F38" s="366"/>
      <c r="G38" s="405"/>
      <c r="H38" s="367"/>
    </row>
    <row r="39" spans="1:9" x14ac:dyDescent="0.25">
      <c r="A39" s="373" t="s">
        <v>80</v>
      </c>
      <c r="B39" s="352" t="s">
        <v>81</v>
      </c>
      <c r="C39" s="406"/>
      <c r="D39" s="369">
        <v>519100</v>
      </c>
      <c r="E39" s="406">
        <f t="shared" ref="E39" si="3">F39-D39</f>
        <v>780900</v>
      </c>
      <c r="F39" s="369">
        <v>1300000</v>
      </c>
      <c r="G39" s="408">
        <v>1300000</v>
      </c>
      <c r="H39" s="367"/>
    </row>
    <row r="40" spans="1:9" ht="15" customHeight="1" x14ac:dyDescent="0.25">
      <c r="A40" s="403" t="s">
        <v>42</v>
      </c>
      <c r="B40" s="365"/>
      <c r="C40" s="404"/>
      <c r="D40" s="366"/>
      <c r="E40" s="404"/>
      <c r="F40" s="366"/>
      <c r="G40" s="405"/>
      <c r="H40" s="367"/>
    </row>
    <row r="41" spans="1:9" ht="15" customHeight="1" x14ac:dyDescent="0.25">
      <c r="A41" s="373" t="s">
        <v>42</v>
      </c>
      <c r="B41" s="433" t="s">
        <v>176</v>
      </c>
      <c r="C41" s="406"/>
      <c r="D41" s="369">
        <v>3000</v>
      </c>
      <c r="E41" s="406">
        <f t="shared" ref="E41" si="4">F41-D41</f>
        <v>47000</v>
      </c>
      <c r="F41" s="369">
        <v>50000</v>
      </c>
      <c r="G41" s="408"/>
      <c r="H41" s="367"/>
    </row>
    <row r="42" spans="1:9" ht="30" customHeight="1" x14ac:dyDescent="0.25">
      <c r="A42" s="396" t="s">
        <v>86</v>
      </c>
      <c r="B42" s="397"/>
      <c r="C42" s="398">
        <f>SUM(C34:C41)</f>
        <v>193300</v>
      </c>
      <c r="D42" s="398">
        <f>SUM(D34:D41)</f>
        <v>539254</v>
      </c>
      <c r="E42" s="398">
        <f>SUM(E34:E41)</f>
        <v>862746</v>
      </c>
      <c r="F42" s="398">
        <f>SUM(F34:F41)</f>
        <v>1402000</v>
      </c>
      <c r="G42" s="398">
        <f>SUM(G34:G41)</f>
        <v>1336000</v>
      </c>
      <c r="H42" s="786">
        <v>1336000</v>
      </c>
    </row>
    <row r="43" spans="1:9" ht="15" customHeight="1" x14ac:dyDescent="0.25">
      <c r="A43" s="429" t="s">
        <v>88</v>
      </c>
      <c r="B43" s="362"/>
      <c r="C43" s="430"/>
      <c r="D43" s="363"/>
      <c r="E43" s="430"/>
      <c r="F43" s="363"/>
      <c r="G43" s="431"/>
      <c r="H43" s="367"/>
      <c r="I43" s="402"/>
    </row>
    <row r="44" spans="1:9" ht="15" customHeight="1" x14ac:dyDescent="0.25">
      <c r="A44" s="396" t="s">
        <v>112</v>
      </c>
      <c r="B44" s="436"/>
      <c r="C44" s="398">
        <v>0</v>
      </c>
      <c r="D44" s="398">
        <v>0</v>
      </c>
      <c r="E44" s="398">
        <v>0</v>
      </c>
      <c r="F44" s="398">
        <v>0</v>
      </c>
      <c r="G44" s="398">
        <v>0</v>
      </c>
      <c r="H44" s="367"/>
    </row>
    <row r="45" spans="1:9" x14ac:dyDescent="0.25">
      <c r="A45" s="419" t="s">
        <v>113</v>
      </c>
      <c r="B45" s="437"/>
      <c r="C45" s="421">
        <f>C44+C42+C32</f>
        <v>2850262.45</v>
      </c>
      <c r="D45" s="421">
        <f>D44+D42+D32</f>
        <v>2255152.2800000003</v>
      </c>
      <c r="E45" s="421">
        <f>E44+E42+E32</f>
        <v>3138145.8</v>
      </c>
      <c r="F45" s="421">
        <f>F44+F42+F32</f>
        <v>5393298.0800000001</v>
      </c>
      <c r="G45" s="421">
        <f>G44+G42+G32</f>
        <v>6075022.5199999996</v>
      </c>
      <c r="H45" s="367"/>
    </row>
    <row r="46" spans="1:9" x14ac:dyDescent="0.25">
      <c r="A46" s="16"/>
      <c r="B46" s="16"/>
      <c r="C46" s="16"/>
      <c r="D46" s="16"/>
      <c r="E46" s="16"/>
      <c r="F46" s="16"/>
      <c r="G46" s="16"/>
      <c r="H46" s="367"/>
    </row>
    <row r="47" spans="1:9" x14ac:dyDescent="0.25">
      <c r="A47" s="16"/>
      <c r="B47" s="16"/>
      <c r="C47" s="16"/>
      <c r="D47" s="16"/>
      <c r="E47" s="16"/>
      <c r="F47" s="16"/>
      <c r="G47" s="16"/>
      <c r="H47" s="367"/>
    </row>
    <row r="48" spans="1:9" x14ac:dyDescent="0.25">
      <c r="A48" s="16"/>
      <c r="B48" s="16"/>
      <c r="C48" s="16"/>
      <c r="D48" s="16"/>
      <c r="E48" s="16"/>
      <c r="F48" s="16"/>
      <c r="G48" s="16"/>
      <c r="H48" s="367"/>
    </row>
    <row r="49" spans="1:8" x14ac:dyDescent="0.25">
      <c r="A49" s="16"/>
      <c r="B49" s="16"/>
      <c r="C49" s="16"/>
      <c r="D49" s="16"/>
      <c r="E49" s="16"/>
      <c r="F49" s="16"/>
      <c r="G49" s="16"/>
      <c r="H49" s="367"/>
    </row>
    <row r="50" spans="1:8" x14ac:dyDescent="0.25">
      <c r="A50" s="16"/>
      <c r="B50" s="16"/>
      <c r="C50" s="16"/>
      <c r="D50" s="16"/>
      <c r="E50" s="16"/>
      <c r="F50" s="16"/>
      <c r="G50" s="16"/>
      <c r="H50" s="367"/>
    </row>
    <row r="51" spans="1:8" x14ac:dyDescent="0.25">
      <c r="A51" s="16"/>
      <c r="B51" s="16"/>
      <c r="C51" s="16"/>
      <c r="D51" s="16"/>
      <c r="E51" s="16"/>
      <c r="F51" s="16"/>
      <c r="G51" s="16"/>
      <c r="H51" s="367"/>
    </row>
    <row r="52" spans="1:8" x14ac:dyDescent="0.25">
      <c r="A52" s="16"/>
      <c r="B52" s="16"/>
      <c r="C52" s="16"/>
      <c r="D52" s="16"/>
      <c r="E52" s="16"/>
      <c r="F52" s="16"/>
      <c r="G52" s="16"/>
      <c r="H52" s="367"/>
    </row>
    <row r="53" spans="1:8" x14ac:dyDescent="0.25">
      <c r="A53" s="16"/>
      <c r="B53" s="16"/>
      <c r="C53" s="16"/>
      <c r="D53" s="16"/>
      <c r="E53" s="16"/>
      <c r="F53" s="16"/>
      <c r="G53" s="16"/>
      <c r="H53" s="367"/>
    </row>
    <row r="54" spans="1:8" x14ac:dyDescent="0.25">
      <c r="A54" s="16"/>
      <c r="B54" s="16"/>
      <c r="C54" s="16"/>
      <c r="D54" s="16"/>
      <c r="E54" s="16"/>
      <c r="F54" s="16"/>
      <c r="G54" s="16"/>
      <c r="H54" s="367"/>
    </row>
    <row r="55" spans="1:8" x14ac:dyDescent="0.25">
      <c r="A55" s="16"/>
      <c r="B55" s="16"/>
      <c r="C55" s="16"/>
      <c r="D55" s="16"/>
      <c r="E55" s="16"/>
      <c r="F55" s="16"/>
      <c r="G55" s="16"/>
      <c r="H55" s="367"/>
    </row>
    <row r="56" spans="1:8" x14ac:dyDescent="0.25">
      <c r="A56" s="16"/>
      <c r="B56" s="16"/>
      <c r="C56" s="16"/>
      <c r="D56" s="16"/>
      <c r="E56" s="16"/>
      <c r="F56" s="16"/>
      <c r="G56" s="16"/>
      <c r="H56" s="367"/>
    </row>
    <row r="57" spans="1:8" x14ac:dyDescent="0.25">
      <c r="A57" s="16"/>
      <c r="B57" s="16"/>
      <c r="C57" s="16"/>
      <c r="D57" s="16"/>
      <c r="E57" s="16"/>
      <c r="F57" s="16"/>
      <c r="G57" s="16"/>
      <c r="H57" s="367"/>
    </row>
    <row r="58" spans="1:8" x14ac:dyDescent="0.25">
      <c r="A58" s="16"/>
      <c r="B58" s="16"/>
      <c r="C58" s="16"/>
      <c r="D58" s="16"/>
      <c r="E58" s="16"/>
      <c r="F58" s="16"/>
      <c r="G58" s="16"/>
      <c r="H58" s="367"/>
    </row>
    <row r="59" spans="1:8" x14ac:dyDescent="0.25">
      <c r="A59" s="16"/>
      <c r="B59" s="16"/>
      <c r="C59" s="16"/>
      <c r="D59" s="16"/>
      <c r="E59" s="16"/>
      <c r="F59" s="16"/>
      <c r="G59" s="16"/>
      <c r="H59" s="367"/>
    </row>
    <row r="60" spans="1:8" x14ac:dyDescent="0.25">
      <c r="A60" s="16"/>
      <c r="B60" s="16"/>
      <c r="C60" s="16">
        <v>322824.65999999997</v>
      </c>
      <c r="D60" s="16"/>
      <c r="E60" s="16"/>
      <c r="F60" s="16"/>
      <c r="G60" s="16"/>
      <c r="H60" s="367"/>
    </row>
    <row r="61" spans="1:8" x14ac:dyDescent="0.25">
      <c r="A61" s="16"/>
      <c r="B61" s="16"/>
      <c r="C61" s="16"/>
      <c r="D61" s="16"/>
      <c r="E61" s="16"/>
      <c r="F61" s="16"/>
      <c r="G61" s="16"/>
      <c r="H61" s="367"/>
    </row>
    <row r="62" spans="1:8" x14ac:dyDescent="0.25">
      <c r="A62" s="16"/>
      <c r="B62" s="16"/>
      <c r="C62" s="16"/>
      <c r="D62" s="16"/>
      <c r="E62" s="16"/>
      <c r="F62" s="16"/>
      <c r="G62" s="16"/>
      <c r="H62" s="367"/>
    </row>
    <row r="63" spans="1:8" x14ac:dyDescent="0.25">
      <c r="A63" s="16"/>
      <c r="B63" s="16"/>
      <c r="C63" s="16"/>
      <c r="D63" s="16"/>
      <c r="E63" s="16"/>
      <c r="F63" s="16"/>
      <c r="G63" s="16"/>
      <c r="H63" s="367"/>
    </row>
    <row r="64" spans="1:8" x14ac:dyDescent="0.25">
      <c r="A64" s="16"/>
      <c r="B64" s="16"/>
      <c r="C64" s="16"/>
      <c r="D64" s="16"/>
      <c r="E64" s="16"/>
      <c r="F64" s="16"/>
      <c r="G64" s="16"/>
      <c r="H64" s="367"/>
    </row>
    <row r="65" spans="1:8" x14ac:dyDescent="0.25">
      <c r="A65" s="16"/>
      <c r="B65" s="16"/>
      <c r="C65" s="16"/>
      <c r="D65" s="16"/>
      <c r="E65" s="16"/>
      <c r="F65" s="16"/>
      <c r="G65" s="16"/>
      <c r="H65" s="367"/>
    </row>
    <row r="66" spans="1:8" x14ac:dyDescent="0.25">
      <c r="A66" s="16"/>
      <c r="B66" s="16"/>
      <c r="C66" s="16"/>
      <c r="D66" s="16"/>
      <c r="E66" s="16"/>
      <c r="F66" s="16"/>
      <c r="G66" s="16"/>
      <c r="H66" s="367"/>
    </row>
    <row r="67" spans="1:8" x14ac:dyDescent="0.25">
      <c r="A67" s="16"/>
      <c r="B67" s="16"/>
      <c r="C67" s="16"/>
      <c r="D67" s="16"/>
      <c r="E67" s="16"/>
      <c r="F67" s="16"/>
      <c r="G67" s="16"/>
      <c r="H67" s="367"/>
    </row>
    <row r="68" spans="1:8" x14ac:dyDescent="0.25">
      <c r="A68" s="16"/>
      <c r="B68" s="16"/>
      <c r="C68" s="16"/>
      <c r="D68" s="16"/>
      <c r="E68" s="16"/>
      <c r="F68" s="16"/>
      <c r="G68" s="16"/>
      <c r="H68" s="367"/>
    </row>
    <row r="69" spans="1:8" x14ac:dyDescent="0.25">
      <c r="A69" s="16"/>
      <c r="B69" s="16"/>
      <c r="C69" s="16"/>
      <c r="D69" s="16"/>
      <c r="E69" s="16"/>
      <c r="F69" s="16"/>
      <c r="G69" s="16"/>
      <c r="H69" s="367"/>
    </row>
    <row r="70" spans="1:8" x14ac:dyDescent="0.25">
      <c r="A70" s="16"/>
      <c r="B70" s="16"/>
      <c r="C70" s="16"/>
      <c r="D70" s="16"/>
      <c r="E70" s="16"/>
      <c r="F70" s="16"/>
      <c r="G70" s="16"/>
      <c r="H70" s="367"/>
    </row>
    <row r="71" spans="1:8" x14ac:dyDescent="0.25">
      <c r="A71" s="16"/>
      <c r="B71" s="16"/>
      <c r="C71" s="16"/>
      <c r="D71" s="16"/>
      <c r="E71" s="16"/>
      <c r="F71" s="16"/>
      <c r="G71" s="16"/>
      <c r="H71" s="367"/>
    </row>
    <row r="72" spans="1:8" x14ac:dyDescent="0.25">
      <c r="A72" s="16"/>
      <c r="B72" s="16"/>
      <c r="C72" s="16"/>
      <c r="D72" s="16"/>
      <c r="E72" s="16"/>
      <c r="F72" s="16"/>
      <c r="G72" s="16"/>
      <c r="H72" s="367"/>
    </row>
    <row r="73" spans="1:8" x14ac:dyDescent="0.25">
      <c r="A73" s="16"/>
      <c r="B73" s="16"/>
      <c r="C73" s="16"/>
      <c r="D73" s="16"/>
      <c r="E73" s="16"/>
      <c r="F73" s="16"/>
      <c r="G73" s="16"/>
      <c r="H73" s="367"/>
    </row>
    <row r="74" spans="1:8" x14ac:dyDescent="0.25">
      <c r="A74" s="16"/>
      <c r="B74" s="16"/>
      <c r="C74" s="16"/>
      <c r="D74" s="16"/>
      <c r="E74" s="16"/>
      <c r="F74" s="16"/>
      <c r="G74" s="16"/>
      <c r="H74" s="367"/>
    </row>
    <row r="75" spans="1:8" x14ac:dyDescent="0.25">
      <c r="A75" s="16"/>
      <c r="B75" s="16"/>
      <c r="C75" s="16"/>
      <c r="D75" s="16"/>
      <c r="E75" s="16"/>
      <c r="F75" s="16"/>
      <c r="G75" s="16"/>
      <c r="H75" s="367"/>
    </row>
    <row r="76" spans="1:8" x14ac:dyDescent="0.25">
      <c r="A76" s="16"/>
      <c r="B76" s="16"/>
      <c r="C76" s="16"/>
      <c r="D76" s="16"/>
      <c r="E76" s="16"/>
      <c r="F76" s="16"/>
      <c r="G76" s="16"/>
      <c r="H76" s="367"/>
    </row>
    <row r="77" spans="1:8" x14ac:dyDescent="0.25">
      <c r="A77" s="16"/>
      <c r="B77" s="16"/>
      <c r="C77" s="16"/>
      <c r="D77" s="16"/>
      <c r="E77" s="16"/>
      <c r="F77" s="16"/>
      <c r="G77" s="16"/>
      <c r="H77" s="367"/>
    </row>
    <row r="78" spans="1:8" x14ac:dyDescent="0.25">
      <c r="A78" s="16"/>
      <c r="B78" s="16"/>
      <c r="C78" s="16"/>
      <c r="D78" s="16"/>
      <c r="E78" s="16"/>
      <c r="F78" s="16"/>
      <c r="G78" s="16"/>
      <c r="H78" s="367"/>
    </row>
    <row r="79" spans="1:8" x14ac:dyDescent="0.25">
      <c r="A79" s="16"/>
      <c r="B79" s="16"/>
      <c r="C79" s="16"/>
      <c r="D79" s="16"/>
      <c r="E79" s="16"/>
      <c r="F79" s="16"/>
      <c r="G79" s="16"/>
      <c r="H79" s="367"/>
    </row>
    <row r="80" spans="1:8" x14ac:dyDescent="0.25">
      <c r="A80" s="16"/>
      <c r="B80" s="16"/>
      <c r="C80" s="16"/>
      <c r="D80" s="16"/>
      <c r="E80" s="16"/>
      <c r="F80" s="16"/>
      <c r="G80" s="16"/>
      <c r="H80" s="367"/>
    </row>
    <row r="81" spans="1:8" x14ac:dyDescent="0.25">
      <c r="A81" s="16"/>
      <c r="B81" s="16"/>
      <c r="C81" s="16"/>
      <c r="D81" s="16"/>
      <c r="E81" s="16"/>
      <c r="F81" s="16"/>
      <c r="G81" s="16"/>
      <c r="H81" s="367"/>
    </row>
    <row r="82" spans="1:8" x14ac:dyDescent="0.25">
      <c r="A82" s="16"/>
      <c r="B82" s="16"/>
      <c r="C82" s="16"/>
      <c r="D82" s="16"/>
      <c r="E82" s="16"/>
      <c r="F82" s="16"/>
      <c r="G82" s="16"/>
      <c r="H82" s="367"/>
    </row>
    <row r="83" spans="1:8" x14ac:dyDescent="0.25">
      <c r="A83" s="16"/>
      <c r="B83" s="16"/>
      <c r="C83" s="16"/>
      <c r="D83" s="16"/>
      <c r="E83" s="16"/>
      <c r="F83" s="16"/>
      <c r="G83" s="16"/>
      <c r="H83" s="367"/>
    </row>
    <row r="84" spans="1:8" x14ac:dyDescent="0.25">
      <c r="A84" s="16"/>
      <c r="B84" s="16"/>
      <c r="C84" s="16"/>
      <c r="D84" s="16"/>
      <c r="E84" s="16"/>
      <c r="F84" s="16"/>
      <c r="G84" s="16"/>
      <c r="H84" s="367"/>
    </row>
    <row r="85" spans="1:8" x14ac:dyDescent="0.25">
      <c r="A85" s="16"/>
      <c r="B85" s="16"/>
      <c r="C85" s="16"/>
      <c r="D85" s="16"/>
      <c r="E85" s="16"/>
      <c r="F85" s="16"/>
      <c r="G85" s="16"/>
      <c r="H85" s="367"/>
    </row>
    <row r="86" spans="1:8" x14ac:dyDescent="0.25">
      <c r="A86" s="16"/>
      <c r="B86" s="16"/>
      <c r="C86" s="16"/>
      <c r="D86" s="16"/>
      <c r="E86" s="16"/>
      <c r="F86" s="16"/>
      <c r="G86" s="16"/>
      <c r="H86" s="367"/>
    </row>
    <row r="87" spans="1:8" x14ac:dyDescent="0.25">
      <c r="A87" s="16"/>
      <c r="B87" s="16"/>
      <c r="C87" s="16"/>
      <c r="D87" s="16"/>
      <c r="E87" s="16"/>
      <c r="F87" s="16"/>
      <c r="G87" s="16"/>
      <c r="H87" s="367"/>
    </row>
    <row r="88" spans="1:8" ht="38.25" customHeight="1" x14ac:dyDescent="0.25">
      <c r="A88" s="16"/>
      <c r="B88" s="16"/>
      <c r="C88" s="16"/>
      <c r="D88" s="16"/>
      <c r="E88" s="16"/>
      <c r="F88" s="16"/>
      <c r="G88" s="16"/>
      <c r="H88" s="367"/>
    </row>
    <row r="89" spans="1:8" x14ac:dyDescent="0.25">
      <c r="A89" s="16"/>
      <c r="B89" s="16"/>
      <c r="C89" s="16"/>
      <c r="D89" s="16"/>
      <c r="E89" s="16"/>
      <c r="F89" s="16"/>
      <c r="G89" s="16"/>
      <c r="H89" s="367"/>
    </row>
    <row r="90" spans="1:8" x14ac:dyDescent="0.25">
      <c r="A90" s="16"/>
      <c r="B90" s="16"/>
      <c r="C90" s="16"/>
      <c r="D90" s="16"/>
      <c r="E90" s="16"/>
      <c r="F90" s="16"/>
      <c r="G90" s="16"/>
      <c r="H90" s="367"/>
    </row>
    <row r="91" spans="1:8" x14ac:dyDescent="0.25">
      <c r="A91" s="16"/>
      <c r="B91" s="16"/>
      <c r="C91" s="16"/>
      <c r="D91" s="16"/>
      <c r="E91" s="16"/>
      <c r="F91" s="16"/>
      <c r="G91" s="16"/>
      <c r="H91" s="367"/>
    </row>
    <row r="92" spans="1:8" x14ac:dyDescent="0.25">
      <c r="A92" s="16"/>
      <c r="B92" s="16"/>
      <c r="C92" s="16"/>
      <c r="D92" s="16"/>
      <c r="E92" s="16"/>
      <c r="F92" s="16"/>
      <c r="G92" s="16"/>
      <c r="H92" s="367"/>
    </row>
    <row r="93" spans="1:8" x14ac:dyDescent="0.25">
      <c r="A93" s="16"/>
      <c r="B93" s="353"/>
      <c r="C93" s="16"/>
      <c r="D93" s="16"/>
      <c r="E93" s="16"/>
      <c r="F93" s="16"/>
      <c r="G93" s="16"/>
      <c r="H93" s="367"/>
    </row>
    <row r="94" spans="1:8" x14ac:dyDescent="0.25">
      <c r="A94" s="16"/>
      <c r="B94" s="16"/>
      <c r="C94" s="16"/>
      <c r="D94" s="16"/>
      <c r="E94" s="16"/>
      <c r="F94" s="16"/>
      <c r="G94" s="16"/>
      <c r="H94" s="367"/>
    </row>
    <row r="95" spans="1:8" x14ac:dyDescent="0.25">
      <c r="A95" s="16"/>
      <c r="B95" s="16"/>
      <c r="C95" s="16"/>
      <c r="D95" s="16"/>
      <c r="E95" s="16"/>
      <c r="F95" s="16"/>
      <c r="G95" s="16"/>
      <c r="H95" s="367"/>
    </row>
    <row r="96" spans="1:8" x14ac:dyDescent="0.25">
      <c r="A96" s="16"/>
      <c r="B96" s="16"/>
      <c r="C96" s="16"/>
      <c r="D96" s="16"/>
      <c r="E96" s="16"/>
      <c r="F96" s="16"/>
      <c r="G96" s="16"/>
      <c r="H96" s="367"/>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52" fitToHeight="0" orientation="portrait" horizontalDpi="360" verticalDpi="360" r:id="rId1"/>
  <headerFooter scaleWithDoc="0">
    <oddFooter>&amp;C&amp;"Candara,Regular"&amp;10Page &amp;"Candara,Bold"&amp;P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pageSetUpPr fitToPage="1"/>
  </sheetPr>
  <dimension ref="A1:K87"/>
  <sheetViews>
    <sheetView view="pageBreakPreview" topLeftCell="A25" zoomScale="130" zoomScaleNormal="115" zoomScaleSheetLayoutView="130" workbookViewId="0">
      <pane xSplit="1" topLeftCell="C1" activePane="topRight" state="frozen"/>
      <selection activeCell="C40" sqref="C40"/>
      <selection pane="top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 style="41" bestFit="1" customWidth="1"/>
    <col min="9" max="9" width="19"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130</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7</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(7)</v>
      </c>
      <c r="B12" s="352" t="s">
        <v>6</v>
      </c>
      <c r="C12" s="406">
        <v>2128980</v>
      </c>
      <c r="D12" s="369">
        <v>1106440</v>
      </c>
      <c r="E12" s="406">
        <f>F12-D12</f>
        <v>1547380.4000000004</v>
      </c>
      <c r="F12" s="369">
        <v>2653820.4000000004</v>
      </c>
      <c r="G12" s="408">
        <f>H12+I12</f>
        <v>2768682.0000000005</v>
      </c>
      <c r="H12" s="438">
        <v>2684682.0000000005</v>
      </c>
      <c r="I12" s="49">
        <f>I14/2</f>
        <v>84000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144000</v>
      </c>
      <c r="D14" s="369">
        <v>72000</v>
      </c>
      <c r="E14" s="406">
        <f t="shared" ref="E14:E15" si="0">F14-D14</f>
        <v>96000</v>
      </c>
      <c r="F14" s="369">
        <v>168000</v>
      </c>
      <c r="G14" s="408">
        <f>param_pera*BAPAS_PLATILLA_ITEMS*12</f>
        <v>168000</v>
      </c>
      <c r="H14" s="402"/>
      <c r="I14" s="49">
        <v>168000</v>
      </c>
    </row>
    <row r="15" spans="1:9" ht="15" customHeight="1" x14ac:dyDescent="0.25">
      <c r="A15" s="373" t="s">
        <v>15</v>
      </c>
      <c r="B15" s="352" t="s">
        <v>16</v>
      </c>
      <c r="C15" s="406">
        <v>36000</v>
      </c>
      <c r="D15" s="369">
        <v>36000</v>
      </c>
      <c r="E15" s="406">
        <f t="shared" si="0"/>
        <v>6000</v>
      </c>
      <c r="F15" s="369">
        <v>42000</v>
      </c>
      <c r="G15" s="408">
        <f>param_uniform*BAPAS_PLATILLA_ITEMS</f>
        <v>42000</v>
      </c>
      <c r="H15" s="402"/>
    </row>
    <row r="16" spans="1:9" ht="15" customHeight="1" x14ac:dyDescent="0.25">
      <c r="A16" s="373" t="s">
        <v>126</v>
      </c>
      <c r="B16" s="352" t="s">
        <v>125</v>
      </c>
      <c r="C16" s="406"/>
      <c r="D16" s="369"/>
      <c r="E16" s="406"/>
      <c r="F16" s="369"/>
      <c r="G16" s="408"/>
      <c r="H16" s="402"/>
    </row>
    <row r="17" spans="1:11" ht="15" customHeight="1" x14ac:dyDescent="0.25">
      <c r="A17" s="373" t="s">
        <v>17</v>
      </c>
      <c r="B17" s="352" t="s">
        <v>18</v>
      </c>
      <c r="C17" s="406">
        <v>171415</v>
      </c>
      <c r="D17" s="369"/>
      <c r="E17" s="406">
        <f t="shared" ref="E17:E18" si="1">F17-D17</f>
        <v>221151.70000000004</v>
      </c>
      <c r="F17" s="369">
        <v>221151.70000000004</v>
      </c>
      <c r="G17" s="408">
        <f>H12/12+I17</f>
        <v>265723.5</v>
      </c>
      <c r="H17" s="402"/>
      <c r="I17" s="49">
        <f>I14/4</f>
        <v>42000</v>
      </c>
    </row>
    <row r="18" spans="1:11" ht="15" customHeight="1" x14ac:dyDescent="0.25">
      <c r="A18" s="373" t="s">
        <v>19</v>
      </c>
      <c r="B18" s="352" t="s">
        <v>20</v>
      </c>
      <c r="C18" s="406">
        <v>30000</v>
      </c>
      <c r="D18" s="369"/>
      <c r="E18" s="406">
        <f t="shared" si="1"/>
        <v>35000</v>
      </c>
      <c r="F18" s="369">
        <v>35000</v>
      </c>
      <c r="G18" s="408">
        <f>param_cash_gift*BAPAS_PLATILLA_ITEMS</f>
        <v>35000</v>
      </c>
      <c r="H18" s="402"/>
    </row>
    <row r="19" spans="1:11" ht="15" customHeight="1" x14ac:dyDescent="0.25">
      <c r="A19" s="403" t="s">
        <v>21</v>
      </c>
      <c r="B19" s="365"/>
      <c r="C19" s="404"/>
      <c r="D19" s="366"/>
      <c r="E19" s="404"/>
      <c r="F19" s="366"/>
      <c r="G19" s="405"/>
      <c r="H19" s="402"/>
    </row>
    <row r="20" spans="1:11" ht="15" customHeight="1" x14ac:dyDescent="0.25">
      <c r="A20" s="373" t="s">
        <v>22</v>
      </c>
      <c r="B20" s="352" t="s">
        <v>23</v>
      </c>
      <c r="C20" s="406">
        <v>255477.6</v>
      </c>
      <c r="D20" s="369">
        <v>132772.79999999999</v>
      </c>
      <c r="E20" s="406">
        <f t="shared" ref="E20:E23" si="2">F20-D20</f>
        <v>185685.64800000004</v>
      </c>
      <c r="F20" s="369">
        <v>318458.44800000003</v>
      </c>
      <c r="G20" s="408">
        <f>H12*12%</f>
        <v>322161.84000000003</v>
      </c>
      <c r="H20" s="402"/>
      <c r="K20" s="41" t="s">
        <v>610</v>
      </c>
    </row>
    <row r="21" spans="1:11" ht="15" customHeight="1" x14ac:dyDescent="0.25">
      <c r="A21" s="373" t="s">
        <v>24</v>
      </c>
      <c r="B21" s="352" t="s">
        <v>25</v>
      </c>
      <c r="C21" s="406">
        <v>6000</v>
      </c>
      <c r="D21" s="369">
        <v>3600</v>
      </c>
      <c r="E21" s="406">
        <f t="shared" si="2"/>
        <v>9000</v>
      </c>
      <c r="F21" s="369">
        <v>12600</v>
      </c>
      <c r="G21" s="408">
        <f>param_pagibig*BAPAS_PLATILLA_ITEMS*12</f>
        <v>12600</v>
      </c>
      <c r="H21" s="402"/>
    </row>
    <row r="22" spans="1:11" ht="15" customHeight="1" x14ac:dyDescent="0.25">
      <c r="A22" s="373" t="s">
        <v>26</v>
      </c>
      <c r="B22" s="352" t="s">
        <v>27</v>
      </c>
      <c r="C22" s="406">
        <v>31341.81</v>
      </c>
      <c r="D22" s="369">
        <v>22113.14</v>
      </c>
      <c r="E22" s="406">
        <f t="shared" si="2"/>
        <v>62886.86</v>
      </c>
      <c r="F22" s="369">
        <v>85000</v>
      </c>
      <c r="G22" s="408">
        <f>ROUND(H22+(H22*0.1), -1)</f>
        <v>59060</v>
      </c>
      <c r="H22" s="402">
        <v>53693.640000000014</v>
      </c>
    </row>
    <row r="23" spans="1:11" ht="15" customHeight="1" x14ac:dyDescent="0.25">
      <c r="A23" s="373" t="s">
        <v>28</v>
      </c>
      <c r="B23" s="352" t="s">
        <v>29</v>
      </c>
      <c r="C23" s="406">
        <v>7200</v>
      </c>
      <c r="D23" s="369">
        <v>3600</v>
      </c>
      <c r="E23" s="406">
        <f t="shared" si="2"/>
        <v>9000</v>
      </c>
      <c r="F23" s="369">
        <v>12600</v>
      </c>
      <c r="G23" s="408">
        <f>param_ecc*BAPAS_PLATILLA_ITEMS*12</f>
        <v>12600</v>
      </c>
      <c r="H23" s="402"/>
    </row>
    <row r="24" spans="1:11" ht="15" customHeight="1" x14ac:dyDescent="0.25">
      <c r="A24" s="403" t="s">
        <v>30</v>
      </c>
      <c r="B24" s="365"/>
      <c r="C24" s="404"/>
      <c r="D24" s="366"/>
      <c r="E24" s="404"/>
      <c r="F24" s="366"/>
      <c r="G24" s="405"/>
      <c r="H24" s="402"/>
    </row>
    <row r="25" spans="1:11" ht="15" customHeight="1" x14ac:dyDescent="0.25">
      <c r="A25" s="373" t="s">
        <v>31</v>
      </c>
      <c r="B25" s="352" t="s">
        <v>32</v>
      </c>
      <c r="C25" s="406"/>
      <c r="D25" s="369"/>
      <c r="E25" s="406"/>
      <c r="F25" s="369"/>
      <c r="G25" s="408"/>
      <c r="H25" s="402"/>
    </row>
    <row r="26" spans="1:11" ht="15" customHeight="1" x14ac:dyDescent="0.25">
      <c r="A26" s="373" t="s">
        <v>30</v>
      </c>
      <c r="B26" s="352" t="s">
        <v>33</v>
      </c>
      <c r="C26" s="406"/>
      <c r="D26" s="369"/>
      <c r="E26" s="406"/>
      <c r="F26" s="369"/>
      <c r="G26" s="408"/>
      <c r="H26" s="519">
        <f>SUM(G27:G33)</f>
        <v>340723.5</v>
      </c>
    </row>
    <row r="27" spans="1:11" ht="15" customHeight="1" x14ac:dyDescent="0.25">
      <c r="A27" s="434" t="s">
        <v>332</v>
      </c>
      <c r="B27" s="352"/>
      <c r="C27" s="406">
        <v>171415</v>
      </c>
      <c r="D27" s="369">
        <v>185103</v>
      </c>
      <c r="E27" s="406">
        <f t="shared" ref="E27:E29" si="3">F27-D27</f>
        <v>36048.700000000041</v>
      </c>
      <c r="F27" s="369">
        <v>221151.70000000004</v>
      </c>
      <c r="G27" s="408">
        <f>H12/12+I27</f>
        <v>265723.5</v>
      </c>
      <c r="H27" s="402"/>
      <c r="I27" s="49">
        <f>I14/4</f>
        <v>42000</v>
      </c>
    </row>
    <row r="28" spans="1:11" ht="15" customHeight="1" x14ac:dyDescent="0.25">
      <c r="A28" s="434" t="s">
        <v>333</v>
      </c>
      <c r="B28" s="352"/>
      <c r="C28" s="406">
        <v>30000</v>
      </c>
      <c r="D28" s="369"/>
      <c r="E28" s="406">
        <f t="shared" si="3"/>
        <v>35000</v>
      </c>
      <c r="F28" s="369">
        <v>35000</v>
      </c>
      <c r="G28" s="408">
        <f>param_pei*BAPAS_PLATILLA_ITEMS</f>
        <v>35000</v>
      </c>
      <c r="H28" s="402"/>
    </row>
    <row r="29" spans="1:11" ht="30" customHeight="1" x14ac:dyDescent="0.25">
      <c r="A29" s="434" t="s">
        <v>461</v>
      </c>
      <c r="B29" s="352"/>
      <c r="C29" s="406"/>
      <c r="D29" s="369"/>
      <c r="E29" s="406">
        <f t="shared" si="3"/>
        <v>35000</v>
      </c>
      <c r="F29" s="369">
        <v>35000</v>
      </c>
      <c r="G29" s="408">
        <f>param_pbb*BAPAS_PLATILLA_ITEMS</f>
        <v>35000</v>
      </c>
      <c r="H29" s="402"/>
    </row>
    <row r="30" spans="1:11" ht="15" customHeight="1" x14ac:dyDescent="0.25">
      <c r="A30" s="434" t="s">
        <v>334</v>
      </c>
      <c r="B30" s="352"/>
      <c r="C30" s="406"/>
      <c r="D30" s="369"/>
      <c r="E30" s="406"/>
      <c r="F30" s="369">
        <v>5000</v>
      </c>
      <c r="G30" s="408">
        <v>5000</v>
      </c>
      <c r="H30" s="519"/>
    </row>
    <row r="31" spans="1:11" ht="15" customHeight="1" x14ac:dyDescent="0.25">
      <c r="A31" s="513" t="s">
        <v>650</v>
      </c>
      <c r="B31" s="479"/>
      <c r="C31" s="381">
        <v>150000</v>
      </c>
      <c r="D31" s="381"/>
      <c r="E31" s="381"/>
      <c r="F31" s="381"/>
      <c r="G31" s="381"/>
      <c r="H31" s="375"/>
    </row>
    <row r="32" spans="1:11" ht="15" customHeight="1" x14ac:dyDescent="0.25">
      <c r="A32" s="376" t="s">
        <v>652</v>
      </c>
      <c r="B32" s="352"/>
      <c r="C32" s="369"/>
      <c r="D32" s="369"/>
      <c r="E32" s="369"/>
      <c r="F32" s="369"/>
      <c r="G32" s="369"/>
      <c r="H32" s="375"/>
    </row>
    <row r="33" spans="1:8" ht="15" customHeight="1" x14ac:dyDescent="0.25">
      <c r="A33" s="378" t="s">
        <v>653</v>
      </c>
      <c r="B33" s="379"/>
      <c r="C33" s="380">
        <v>60000</v>
      </c>
      <c r="D33" s="380"/>
      <c r="E33" s="381"/>
      <c r="F33" s="380"/>
      <c r="G33" s="380"/>
      <c r="H33" s="375"/>
    </row>
    <row r="34" spans="1:8" ht="15" customHeight="1" x14ac:dyDescent="0.25">
      <c r="A34" s="396" t="s">
        <v>34</v>
      </c>
      <c r="B34" s="397"/>
      <c r="C34" s="398">
        <f>SUM(C11:C33)</f>
        <v>3221829.41</v>
      </c>
      <c r="D34" s="398">
        <f t="shared" ref="D34:F34" si="4">SUM(D11:D33)</f>
        <v>1561628.94</v>
      </c>
      <c r="E34" s="398">
        <f t="shared" si="4"/>
        <v>2278153.3080000007</v>
      </c>
      <c r="F34" s="398">
        <f t="shared" si="4"/>
        <v>3844782.2480000006</v>
      </c>
      <c r="G34" s="398">
        <f>SUM(G11:G33)</f>
        <v>4026550.8400000003</v>
      </c>
      <c r="H34" s="439"/>
    </row>
    <row r="35" spans="1:8" ht="15" customHeight="1" x14ac:dyDescent="0.25">
      <c r="A35" s="429" t="s">
        <v>35</v>
      </c>
      <c r="B35" s="362"/>
      <c r="C35" s="430"/>
      <c r="D35" s="363"/>
      <c r="E35" s="430"/>
      <c r="F35" s="363"/>
      <c r="G35" s="431"/>
      <c r="H35" s="16"/>
    </row>
    <row r="36" spans="1:8" ht="15" customHeight="1" x14ac:dyDescent="0.25">
      <c r="A36" s="403" t="s">
        <v>55</v>
      </c>
      <c r="B36" s="365"/>
      <c r="C36" s="404"/>
      <c r="D36" s="366"/>
      <c r="E36" s="404"/>
      <c r="F36" s="366"/>
      <c r="G36" s="405"/>
      <c r="H36" s="16"/>
    </row>
    <row r="37" spans="1:8" ht="15" customHeight="1" x14ac:dyDescent="0.25">
      <c r="A37" s="373" t="s">
        <v>56</v>
      </c>
      <c r="B37" s="352" t="s">
        <v>57</v>
      </c>
      <c r="C37" s="406">
        <v>690</v>
      </c>
      <c r="D37" s="369">
        <v>660</v>
      </c>
      <c r="E37" s="406">
        <f t="shared" ref="E37" si="5">F37-D37</f>
        <v>9340</v>
      </c>
      <c r="F37" s="369">
        <v>10000</v>
      </c>
      <c r="G37" s="408">
        <v>10000</v>
      </c>
    </row>
    <row r="38" spans="1:8" ht="15" customHeight="1" x14ac:dyDescent="0.25">
      <c r="A38" s="403" t="s">
        <v>58</v>
      </c>
      <c r="B38" s="352"/>
      <c r="C38" s="406"/>
      <c r="D38" s="369"/>
      <c r="E38" s="406"/>
      <c r="F38" s="369"/>
      <c r="G38" s="408"/>
    </row>
    <row r="39" spans="1:8" ht="15" customHeight="1" x14ac:dyDescent="0.25">
      <c r="A39" s="373" t="s">
        <v>61</v>
      </c>
      <c r="B39" s="352" t="s">
        <v>62</v>
      </c>
      <c r="C39" s="406">
        <v>22188</v>
      </c>
      <c r="D39" s="369">
        <v>10185</v>
      </c>
      <c r="E39" s="406">
        <f>F39-D39</f>
        <v>25815</v>
      </c>
      <c r="F39" s="369">
        <v>36000</v>
      </c>
      <c r="G39" s="408">
        <v>36000</v>
      </c>
    </row>
    <row r="40" spans="1:8" x14ac:dyDescent="0.25">
      <c r="A40" s="368" t="s">
        <v>63</v>
      </c>
      <c r="B40" s="352" t="s">
        <v>64</v>
      </c>
      <c r="C40" s="369"/>
      <c r="D40" s="369">
        <v>5650</v>
      </c>
      <c r="E40" s="369">
        <f>F40-D40</f>
        <v>12350</v>
      </c>
      <c r="F40" s="386">
        <v>18000</v>
      </c>
      <c r="G40" s="386">
        <v>18000</v>
      </c>
    </row>
    <row r="41" spans="1:8" ht="15" customHeight="1" x14ac:dyDescent="0.25">
      <c r="A41" s="403" t="s">
        <v>79</v>
      </c>
      <c r="B41" s="365"/>
      <c r="C41" s="404"/>
      <c r="D41" s="366"/>
      <c r="E41" s="404"/>
      <c r="F41" s="366"/>
      <c r="G41" s="405"/>
    </row>
    <row r="42" spans="1:8" ht="15" customHeight="1" x14ac:dyDescent="0.25">
      <c r="A42" s="373" t="s">
        <v>80</v>
      </c>
      <c r="B42" s="352" t="s">
        <v>81</v>
      </c>
      <c r="C42" s="406"/>
      <c r="D42" s="369">
        <v>153010</v>
      </c>
      <c r="E42" s="406">
        <f>F42-D42</f>
        <v>206990</v>
      </c>
      <c r="F42" s="369">
        <v>360000</v>
      </c>
      <c r="G42" s="408">
        <v>304080</v>
      </c>
    </row>
    <row r="43" spans="1:8" ht="15" customHeight="1" x14ac:dyDescent="0.25">
      <c r="A43" s="403" t="s">
        <v>42</v>
      </c>
      <c r="B43" s="365"/>
      <c r="C43" s="404"/>
      <c r="D43" s="366"/>
      <c r="E43" s="404"/>
      <c r="F43" s="366"/>
      <c r="G43" s="405"/>
    </row>
    <row r="44" spans="1:8" ht="15" customHeight="1" x14ac:dyDescent="0.25">
      <c r="A44" s="373" t="s">
        <v>42</v>
      </c>
      <c r="B44" s="433" t="s">
        <v>176</v>
      </c>
      <c r="C44" s="406"/>
      <c r="D44" s="369"/>
      <c r="E44" s="406">
        <f>F44-D44</f>
        <v>50000</v>
      </c>
      <c r="F44" s="369">
        <v>50000</v>
      </c>
      <c r="G44" s="369">
        <v>20000</v>
      </c>
    </row>
    <row r="45" spans="1:8" ht="30" customHeight="1" x14ac:dyDescent="0.25">
      <c r="A45" s="396" t="s">
        <v>86</v>
      </c>
      <c r="B45" s="397"/>
      <c r="C45" s="398">
        <f>SUM(C35:C44)</f>
        <v>22878</v>
      </c>
      <c r="D45" s="398">
        <f>SUM(D35:D44)</f>
        <v>169505</v>
      </c>
      <c r="E45" s="398">
        <f>SUM(E35:E44)</f>
        <v>304495</v>
      </c>
      <c r="F45" s="398">
        <f>SUM(F35:F44)</f>
        <v>474000</v>
      </c>
      <c r="G45" s="398">
        <f>SUM(G35:G44)</f>
        <v>388080</v>
      </c>
      <c r="H45" s="804">
        <v>54000</v>
      </c>
    </row>
    <row r="46" spans="1:8" ht="15" customHeight="1" x14ac:dyDescent="0.25">
      <c r="A46" s="429" t="s">
        <v>88</v>
      </c>
      <c r="B46" s="362"/>
      <c r="C46" s="430"/>
      <c r="D46" s="363"/>
      <c r="E46" s="430"/>
      <c r="F46" s="363"/>
      <c r="G46" s="431"/>
      <c r="H46" s="16"/>
    </row>
    <row r="47" spans="1:8" ht="15" customHeight="1" x14ac:dyDescent="0.25">
      <c r="A47" s="396" t="s">
        <v>112</v>
      </c>
      <c r="B47" s="436"/>
      <c r="C47" s="398">
        <f>SUM(C46:C46)</f>
        <v>0</v>
      </c>
      <c r="D47" s="398">
        <f>SUM(D46:D46)</f>
        <v>0</v>
      </c>
      <c r="E47" s="398">
        <f>SUM(E46:E46)</f>
        <v>0</v>
      </c>
      <c r="F47" s="398">
        <f>SUM(F46:F46)</f>
        <v>0</v>
      </c>
      <c r="G47" s="398">
        <f>SUM(G46:G46)</f>
        <v>0</v>
      </c>
      <c r="H47" s="16"/>
    </row>
    <row r="48" spans="1:8" ht="15" customHeight="1" x14ac:dyDescent="0.25">
      <c r="A48" s="419" t="s">
        <v>113</v>
      </c>
      <c r="B48" s="437"/>
      <c r="C48" s="421">
        <f>C34+C45+C47</f>
        <v>3244707.41</v>
      </c>
      <c r="D48" s="421">
        <f>D34+D45+D47</f>
        <v>1731133.94</v>
      </c>
      <c r="E48" s="421">
        <f>E34+E45+E47</f>
        <v>2582648.3080000007</v>
      </c>
      <c r="F48" s="421">
        <f>F34+F45+F47</f>
        <v>4318782.2480000006</v>
      </c>
      <c r="G48" s="421">
        <f>+BAPAS_CO+BAPAS_MOOE+BAPAS_PS</f>
        <v>4414630.84</v>
      </c>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ht="38.25" customHeight="1"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353"/>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8" fitToHeight="0" orientation="portrait" horizontalDpi="360" verticalDpi="360" r:id="rId1"/>
  <headerFooter scaleWithDoc="0">
    <oddFooter>&amp;C&amp;"Candara,Regular"&amp;10Page &amp;"Candara,Bold"&amp;P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fitToPage="1"/>
  </sheetPr>
  <dimension ref="A1:L92"/>
  <sheetViews>
    <sheetView view="pageBreakPreview" topLeftCell="A4" zoomScale="130" zoomScaleNormal="130" zoomScaleSheetLayoutView="130" workbookViewId="0">
      <pane xSplit="2" ySplit="5" topLeftCell="C47"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3.7109375" style="41" bestFit="1" customWidth="1"/>
    <col min="9" max="9" width="14" style="49" bestFit="1"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151</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50"/>
    </row>
    <row r="7" spans="1:9" s="43" customFormat="1" ht="12" x14ac:dyDescent="0.2">
      <c r="A7" s="1099"/>
      <c r="B7" s="1099"/>
      <c r="C7" s="1099"/>
      <c r="D7" s="1100"/>
      <c r="E7" s="1100"/>
      <c r="F7" s="1100"/>
      <c r="G7" s="1099"/>
      <c r="H7" s="358"/>
      <c r="I7" s="1050"/>
    </row>
    <row r="8" spans="1:9" s="43" customFormat="1" ht="24" x14ac:dyDescent="0.2">
      <c r="A8" s="1099"/>
      <c r="B8" s="1099"/>
      <c r="C8" s="1099"/>
      <c r="D8" s="359" t="s">
        <v>308</v>
      </c>
      <c r="E8" s="359" t="s">
        <v>309</v>
      </c>
      <c r="F8" s="359" t="s">
        <v>3</v>
      </c>
      <c r="G8" s="1099"/>
      <c r="H8" s="358"/>
      <c r="I8" s="1050"/>
    </row>
    <row r="9" spans="1:9" s="70" customFormat="1" ht="11.25" x14ac:dyDescent="0.25">
      <c r="A9" s="360">
        <v>1</v>
      </c>
      <c r="B9" s="360">
        <v>2</v>
      </c>
      <c r="C9" s="360">
        <v>3</v>
      </c>
      <c r="D9" s="360">
        <v>4</v>
      </c>
      <c r="E9" s="360">
        <v>5</v>
      </c>
      <c r="F9" s="360">
        <v>6</v>
      </c>
      <c r="G9" s="360">
        <v>7</v>
      </c>
      <c r="H9" s="423" t="s">
        <v>497</v>
      </c>
      <c r="I9" s="1051"/>
    </row>
    <row r="10" spans="1:9" ht="15" customHeight="1" x14ac:dyDescent="0.25">
      <c r="A10" s="429" t="s">
        <v>4</v>
      </c>
      <c r="B10" s="362"/>
      <c r="C10" s="430"/>
      <c r="D10" s="363"/>
      <c r="E10" s="430"/>
      <c r="F10" s="363"/>
      <c r="G10" s="431"/>
      <c r="H10" s="18">
        <v>6</v>
      </c>
      <c r="I10" s="402"/>
    </row>
    <row r="11" spans="1:9" ht="15" customHeight="1" x14ac:dyDescent="0.25">
      <c r="A11" s="403" t="s">
        <v>5</v>
      </c>
      <c r="B11" s="365"/>
      <c r="C11" s="404"/>
      <c r="D11" s="366"/>
      <c r="E11" s="404"/>
      <c r="F11" s="366"/>
      <c r="G11" s="405"/>
      <c r="H11" s="16"/>
      <c r="I11" s="402"/>
    </row>
    <row r="12" spans="1:9" ht="15" customHeight="1" x14ac:dyDescent="0.25">
      <c r="A12" s="373" t="str">
        <f>"Salaries and Wages - Regular (" &amp; H10 &amp; ")"</f>
        <v>Salaries and Wages - Regular (6)</v>
      </c>
      <c r="B12" s="352" t="s">
        <v>6</v>
      </c>
      <c r="C12" s="406">
        <v>1998857.16</v>
      </c>
      <c r="D12" s="369">
        <v>1041393</v>
      </c>
      <c r="E12" s="406">
        <f>F12-D12</f>
        <v>1183889.4000000004</v>
      </c>
      <c r="F12" s="369">
        <v>2225282.4000000004</v>
      </c>
      <c r="G12" s="408">
        <f>H12+I12</f>
        <v>2376574.8000000003</v>
      </c>
      <c r="H12" s="438">
        <v>2304574.8000000003</v>
      </c>
      <c r="I12" s="402">
        <f>I14/2</f>
        <v>72000</v>
      </c>
    </row>
    <row r="13" spans="1:9" ht="15" customHeight="1" x14ac:dyDescent="0.25">
      <c r="A13" s="403" t="s">
        <v>7</v>
      </c>
      <c r="B13" s="365"/>
      <c r="C13" s="404"/>
      <c r="D13" s="366"/>
      <c r="E13" s="404"/>
      <c r="F13" s="366"/>
      <c r="G13" s="405"/>
      <c r="H13" s="16"/>
      <c r="I13" s="402"/>
    </row>
    <row r="14" spans="1:9" ht="15" customHeight="1" x14ac:dyDescent="0.25">
      <c r="A14" s="373" t="s">
        <v>8</v>
      </c>
      <c r="B14" s="352" t="s">
        <v>9</v>
      </c>
      <c r="C14" s="406">
        <v>144000</v>
      </c>
      <c r="D14" s="369">
        <v>72000</v>
      </c>
      <c r="E14" s="406">
        <f t="shared" ref="E14:E15" si="0">F14-D14</f>
        <v>72000</v>
      </c>
      <c r="F14" s="369">
        <v>144000</v>
      </c>
      <c r="G14" s="408">
        <f>param_pera*PERMITS_PLATILLA_ITEMS*12</f>
        <v>144000</v>
      </c>
      <c r="H14" s="402"/>
      <c r="I14" s="402">
        <v>144000</v>
      </c>
    </row>
    <row r="15" spans="1:9" ht="15" customHeight="1" x14ac:dyDescent="0.25">
      <c r="A15" s="373" t="s">
        <v>15</v>
      </c>
      <c r="B15" s="352" t="s">
        <v>16</v>
      </c>
      <c r="C15" s="406">
        <v>36000</v>
      </c>
      <c r="D15" s="369">
        <v>36000</v>
      </c>
      <c r="E15" s="406">
        <f t="shared" si="0"/>
        <v>0</v>
      </c>
      <c r="F15" s="369">
        <v>36000</v>
      </c>
      <c r="G15" s="408">
        <f>param_uniform*PERMITS_PLATILLA_ITEMS</f>
        <v>36000</v>
      </c>
      <c r="H15" s="402"/>
      <c r="I15" s="402"/>
    </row>
    <row r="16" spans="1:9" ht="15" customHeight="1" x14ac:dyDescent="0.25">
      <c r="A16" s="373" t="s">
        <v>126</v>
      </c>
      <c r="B16" s="352" t="s">
        <v>125</v>
      </c>
      <c r="C16" s="406">
        <v>166569</v>
      </c>
      <c r="D16" s="369"/>
      <c r="E16" s="406"/>
      <c r="F16" s="369"/>
      <c r="G16" s="408"/>
      <c r="H16" s="402"/>
      <c r="I16" s="402"/>
    </row>
    <row r="17" spans="1:12" ht="15" customHeight="1" x14ac:dyDescent="0.25">
      <c r="A17" s="373" t="s">
        <v>17</v>
      </c>
      <c r="B17" s="352" t="s">
        <v>18</v>
      </c>
      <c r="C17" s="406"/>
      <c r="D17" s="369"/>
      <c r="E17" s="406">
        <f t="shared" ref="E17:E18" si="1">F17-D17</f>
        <v>185440.20000000004</v>
      </c>
      <c r="F17" s="369">
        <v>185440.20000000004</v>
      </c>
      <c r="G17" s="408">
        <f>H12/12+I17</f>
        <v>228047.90000000002</v>
      </c>
      <c r="H17" s="402"/>
      <c r="I17" s="402">
        <f>I14/4</f>
        <v>36000</v>
      </c>
    </row>
    <row r="18" spans="1:12" ht="15" customHeight="1" x14ac:dyDescent="0.25">
      <c r="A18" s="373" t="s">
        <v>19</v>
      </c>
      <c r="B18" s="352" t="s">
        <v>20</v>
      </c>
      <c r="C18" s="406">
        <v>30000</v>
      </c>
      <c r="D18" s="369"/>
      <c r="E18" s="406">
        <f t="shared" si="1"/>
        <v>30000</v>
      </c>
      <c r="F18" s="369">
        <v>30000</v>
      </c>
      <c r="G18" s="408">
        <f>param_cash_gift*PERMITS_PLATILLA_ITEMS</f>
        <v>30000</v>
      </c>
      <c r="H18" s="402"/>
      <c r="I18" s="402"/>
    </row>
    <row r="19" spans="1:12" ht="15" customHeight="1" x14ac:dyDescent="0.25">
      <c r="A19" s="403" t="s">
        <v>21</v>
      </c>
      <c r="B19" s="365"/>
      <c r="C19" s="404"/>
      <c r="D19" s="366"/>
      <c r="E19" s="404"/>
      <c r="F19" s="366"/>
      <c r="G19" s="405"/>
      <c r="H19" s="402"/>
      <c r="I19" s="402"/>
    </row>
    <row r="20" spans="1:12" ht="15" customHeight="1" x14ac:dyDescent="0.25">
      <c r="A20" s="373" t="s">
        <v>22</v>
      </c>
      <c r="B20" s="352" t="s">
        <v>23</v>
      </c>
      <c r="C20" s="406">
        <v>239862.86</v>
      </c>
      <c r="D20" s="369">
        <v>124967.16</v>
      </c>
      <c r="E20" s="406">
        <f t="shared" ref="E20:E23" si="2">F20-D20</f>
        <v>142066.72800000003</v>
      </c>
      <c r="F20" s="369">
        <v>267033.88800000004</v>
      </c>
      <c r="G20" s="408">
        <f>H12*12%</f>
        <v>276548.97600000002</v>
      </c>
      <c r="H20" s="402"/>
      <c r="I20" s="402"/>
      <c r="L20" s="41" t="s">
        <v>610</v>
      </c>
    </row>
    <row r="21" spans="1:12" ht="15" customHeight="1" x14ac:dyDescent="0.25">
      <c r="A21" s="373" t="s">
        <v>24</v>
      </c>
      <c r="B21" s="352" t="s">
        <v>25</v>
      </c>
      <c r="C21" s="406">
        <v>7200</v>
      </c>
      <c r="D21" s="369">
        <v>3600</v>
      </c>
      <c r="E21" s="406">
        <f t="shared" si="2"/>
        <v>7200</v>
      </c>
      <c r="F21" s="369">
        <v>10800</v>
      </c>
      <c r="G21" s="408">
        <f>param_pagibig*PERMITS_PLATILLA_ITEMS*12</f>
        <v>10800</v>
      </c>
      <c r="H21" s="402"/>
      <c r="I21" s="402"/>
    </row>
    <row r="22" spans="1:12" ht="15" customHeight="1" x14ac:dyDescent="0.25">
      <c r="A22" s="373" t="s">
        <v>26</v>
      </c>
      <c r="B22" s="352" t="s">
        <v>27</v>
      </c>
      <c r="C22" s="406">
        <v>29492.19</v>
      </c>
      <c r="D22" s="369">
        <v>20734.919999999998</v>
      </c>
      <c r="E22" s="406">
        <f t="shared" si="2"/>
        <v>35265.08</v>
      </c>
      <c r="F22" s="369">
        <v>56000</v>
      </c>
      <c r="G22" s="408">
        <f>ROUND(H22+(H22*0.1), -1)</f>
        <v>50700</v>
      </c>
      <c r="H22" s="402">
        <v>46091.495999999999</v>
      </c>
      <c r="I22" s="402"/>
    </row>
    <row r="23" spans="1:12" ht="15" customHeight="1" x14ac:dyDescent="0.25">
      <c r="A23" s="373" t="s">
        <v>28</v>
      </c>
      <c r="B23" s="352" t="s">
        <v>29</v>
      </c>
      <c r="C23" s="406">
        <v>7200</v>
      </c>
      <c r="D23" s="369">
        <v>3600</v>
      </c>
      <c r="E23" s="406">
        <f t="shared" si="2"/>
        <v>7200</v>
      </c>
      <c r="F23" s="369">
        <v>10800</v>
      </c>
      <c r="G23" s="408">
        <f>param_ecc*PERMITS_PLATILLA_ITEMS*12</f>
        <v>10800</v>
      </c>
      <c r="H23" s="402"/>
      <c r="I23" s="402"/>
    </row>
    <row r="24" spans="1:12" ht="15" customHeight="1" x14ac:dyDescent="0.25">
      <c r="A24" s="403" t="s">
        <v>30</v>
      </c>
      <c r="B24" s="365"/>
      <c r="C24" s="404"/>
      <c r="D24" s="366"/>
      <c r="E24" s="404"/>
      <c r="F24" s="366"/>
      <c r="G24" s="405"/>
      <c r="H24" s="402"/>
      <c r="I24" s="402"/>
    </row>
    <row r="25" spans="1:12" ht="15" customHeight="1" x14ac:dyDescent="0.25">
      <c r="A25" s="373" t="s">
        <v>30</v>
      </c>
      <c r="B25" s="352" t="s">
        <v>33</v>
      </c>
      <c r="C25" s="406"/>
      <c r="D25" s="369"/>
      <c r="E25" s="369"/>
      <c r="F25" s="369"/>
      <c r="G25" s="408"/>
      <c r="H25" s="519">
        <f>SUM(G25:G32)</f>
        <v>288047.90000000002</v>
      </c>
      <c r="I25" s="402"/>
    </row>
    <row r="26" spans="1:12" ht="15" customHeight="1" x14ac:dyDescent="0.25">
      <c r="A26" s="434" t="s">
        <v>332</v>
      </c>
      <c r="B26" s="352"/>
      <c r="C26" s="406">
        <v>166569</v>
      </c>
      <c r="D26" s="369">
        <v>174333</v>
      </c>
      <c r="E26" s="406">
        <f t="shared" ref="E26:E29" si="3">F26-D26</f>
        <v>11107.200000000041</v>
      </c>
      <c r="F26" s="369">
        <v>185440.20000000004</v>
      </c>
      <c r="G26" s="408">
        <f>H12/12+I26</f>
        <v>228047.90000000002</v>
      </c>
      <c r="H26" s="402"/>
      <c r="I26" s="402">
        <f>I14/4</f>
        <v>36000</v>
      </c>
    </row>
    <row r="27" spans="1:12" ht="15" customHeight="1" x14ac:dyDescent="0.25">
      <c r="A27" s="434" t="s">
        <v>333</v>
      </c>
      <c r="B27" s="352"/>
      <c r="C27" s="406">
        <v>30000</v>
      </c>
      <c r="D27" s="369"/>
      <c r="E27" s="406">
        <f t="shared" si="3"/>
        <v>30000</v>
      </c>
      <c r="F27" s="369">
        <v>30000</v>
      </c>
      <c r="G27" s="408">
        <f>param_pei*PERMITS_PLATILLA_ITEMS</f>
        <v>30000</v>
      </c>
      <c r="H27" s="402"/>
      <c r="I27" s="402"/>
    </row>
    <row r="28" spans="1:12" ht="30" customHeight="1" x14ac:dyDescent="0.25">
      <c r="A28" s="434" t="s">
        <v>649</v>
      </c>
      <c r="B28" s="352"/>
      <c r="C28" s="406"/>
      <c r="D28" s="369"/>
      <c r="E28" s="406">
        <f t="shared" si="3"/>
        <v>30000</v>
      </c>
      <c r="F28" s="369">
        <v>30000</v>
      </c>
      <c r="G28" s="408">
        <f>param_pbb*PERMITS_PLATILLA_ITEMS</f>
        <v>30000</v>
      </c>
      <c r="H28" s="402"/>
      <c r="I28" s="402"/>
    </row>
    <row r="29" spans="1:12" ht="15" customHeight="1" x14ac:dyDescent="0.25">
      <c r="A29" s="434" t="s">
        <v>334</v>
      </c>
      <c r="B29" s="352"/>
      <c r="C29" s="406">
        <v>5000</v>
      </c>
      <c r="D29" s="369"/>
      <c r="E29" s="406">
        <f t="shared" si="3"/>
        <v>0</v>
      </c>
      <c r="F29" s="369"/>
      <c r="G29" s="408"/>
      <c r="H29" s="519"/>
      <c r="I29" s="402"/>
    </row>
    <row r="30" spans="1:12" ht="15" customHeight="1" x14ac:dyDescent="0.25">
      <c r="A30" s="513" t="s">
        <v>650</v>
      </c>
      <c r="B30" s="479"/>
      <c r="C30" s="381">
        <v>150000</v>
      </c>
      <c r="D30" s="381"/>
      <c r="E30" s="381"/>
      <c r="F30" s="381"/>
      <c r="G30" s="381"/>
      <c r="H30" s="375"/>
      <c r="I30" s="402"/>
    </row>
    <row r="31" spans="1:12" ht="15" customHeight="1" x14ac:dyDescent="0.25">
      <c r="A31" s="376" t="s">
        <v>652</v>
      </c>
      <c r="B31" s="352"/>
      <c r="C31" s="369"/>
      <c r="D31" s="369"/>
      <c r="E31" s="369"/>
      <c r="F31" s="369"/>
      <c r="G31" s="369"/>
      <c r="H31" s="375"/>
      <c r="I31" s="402"/>
    </row>
    <row r="32" spans="1:12" ht="15" customHeight="1" x14ac:dyDescent="0.25">
      <c r="A32" s="378" t="s">
        <v>653</v>
      </c>
      <c r="B32" s="379"/>
      <c r="C32" s="380">
        <v>60000</v>
      </c>
      <c r="D32" s="380"/>
      <c r="E32" s="381"/>
      <c r="F32" s="380"/>
      <c r="G32" s="380"/>
      <c r="H32" s="375"/>
      <c r="I32" s="402"/>
    </row>
    <row r="33" spans="1:9" ht="15" customHeight="1" x14ac:dyDescent="0.25">
      <c r="A33" s="396" t="s">
        <v>34</v>
      </c>
      <c r="B33" s="397"/>
      <c r="C33" s="398">
        <f>SUM(C11:C32)</f>
        <v>3070750.21</v>
      </c>
      <c r="D33" s="398">
        <f t="shared" ref="D33:F33" si="4">SUM(D11:D32)</f>
        <v>1476628.0799999998</v>
      </c>
      <c r="E33" s="398">
        <f t="shared" si="4"/>
        <v>1734168.6080000005</v>
      </c>
      <c r="F33" s="398">
        <f t="shared" si="4"/>
        <v>3210796.688000001</v>
      </c>
      <c r="G33" s="398">
        <f>SUM(G11:G32)</f>
        <v>3451519.5759999999</v>
      </c>
      <c r="H33" s="439"/>
      <c r="I33" s="402"/>
    </row>
    <row r="34" spans="1:9" ht="15" customHeight="1" x14ac:dyDescent="0.25">
      <c r="A34" s="429" t="s">
        <v>35</v>
      </c>
      <c r="B34" s="362"/>
      <c r="C34" s="430"/>
      <c r="D34" s="363"/>
      <c r="E34" s="430"/>
      <c r="F34" s="363"/>
      <c r="G34" s="431"/>
      <c r="H34" s="16"/>
      <c r="I34" s="402"/>
    </row>
    <row r="35" spans="1:9" x14ac:dyDescent="0.25">
      <c r="A35" s="403" t="s">
        <v>55</v>
      </c>
      <c r="B35" s="365"/>
      <c r="C35" s="404"/>
      <c r="D35" s="366"/>
      <c r="E35" s="404"/>
      <c r="F35" s="366"/>
      <c r="G35" s="405"/>
      <c r="H35" s="16"/>
      <c r="I35" s="402"/>
    </row>
    <row r="36" spans="1:9" x14ac:dyDescent="0.25">
      <c r="A36" s="373" t="s">
        <v>56</v>
      </c>
      <c r="B36" s="352" t="s">
        <v>57</v>
      </c>
      <c r="C36" s="406">
        <v>1500</v>
      </c>
      <c r="D36" s="369">
        <v>1500</v>
      </c>
      <c r="E36" s="406">
        <f>F36-D36</f>
        <v>1500</v>
      </c>
      <c r="F36" s="369">
        <v>3000</v>
      </c>
      <c r="G36" s="408">
        <v>3000</v>
      </c>
      <c r="H36" s="16"/>
      <c r="I36" s="402"/>
    </row>
    <row r="37" spans="1:9" x14ac:dyDescent="0.25">
      <c r="A37" s="403" t="s">
        <v>58</v>
      </c>
      <c r="B37" s="365"/>
      <c r="C37" s="404"/>
      <c r="D37" s="366"/>
      <c r="E37" s="404"/>
      <c r="F37" s="366"/>
      <c r="G37" s="405"/>
      <c r="H37" s="16"/>
      <c r="I37" s="402"/>
    </row>
    <row r="38" spans="1:9" x14ac:dyDescent="0.25">
      <c r="A38" s="373" t="s">
        <v>61</v>
      </c>
      <c r="B38" s="352" t="s">
        <v>62</v>
      </c>
      <c r="C38" s="406">
        <v>24000</v>
      </c>
      <c r="D38" s="369">
        <v>18000</v>
      </c>
      <c r="E38" s="406">
        <f>F38-D38</f>
        <v>18000</v>
      </c>
      <c r="F38" s="369">
        <v>36000</v>
      </c>
      <c r="G38" s="408">
        <v>36000</v>
      </c>
      <c r="H38" s="16"/>
      <c r="I38" s="402"/>
    </row>
    <row r="39" spans="1:9" ht="15" customHeight="1" x14ac:dyDescent="0.25">
      <c r="A39" s="373" t="s">
        <v>63</v>
      </c>
      <c r="B39" s="352" t="s">
        <v>64</v>
      </c>
      <c r="C39" s="578">
        <v>9000</v>
      </c>
      <c r="D39" s="391">
        <v>9000</v>
      </c>
      <c r="E39" s="406">
        <f>F39-D39</f>
        <v>9000</v>
      </c>
      <c r="F39" s="391">
        <v>18000</v>
      </c>
      <c r="G39" s="408">
        <v>18000</v>
      </c>
      <c r="H39" s="367"/>
      <c r="I39" s="402"/>
    </row>
    <row r="40" spans="1:9" x14ac:dyDescent="0.25">
      <c r="A40" s="403" t="s">
        <v>79</v>
      </c>
      <c r="B40" s="365"/>
      <c r="C40" s="404"/>
      <c r="D40" s="366"/>
      <c r="E40" s="404"/>
      <c r="F40" s="366"/>
      <c r="G40" s="405"/>
      <c r="H40" s="16"/>
      <c r="I40" s="402"/>
    </row>
    <row r="41" spans="1:9" x14ac:dyDescent="0.25">
      <c r="A41" s="373" t="s">
        <v>80</v>
      </c>
      <c r="B41" s="352" t="s">
        <v>81</v>
      </c>
      <c r="C41" s="406">
        <v>355375</v>
      </c>
      <c r="D41" s="369">
        <v>180250</v>
      </c>
      <c r="E41" s="406">
        <f>F41-D41</f>
        <v>306750</v>
      </c>
      <c r="F41" s="369">
        <v>487000</v>
      </c>
      <c r="G41" s="408">
        <v>506800</v>
      </c>
      <c r="H41" s="439"/>
      <c r="I41" s="402"/>
    </row>
    <row r="42" spans="1:9" ht="15" customHeight="1" x14ac:dyDescent="0.25">
      <c r="A42" s="403" t="s">
        <v>42</v>
      </c>
      <c r="B42" s="365"/>
      <c r="C42" s="404"/>
      <c r="D42" s="366"/>
      <c r="E42" s="404"/>
      <c r="F42" s="366"/>
      <c r="G42" s="405"/>
      <c r="H42" s="16"/>
      <c r="I42" s="402"/>
    </row>
    <row r="43" spans="1:9" ht="15" customHeight="1" x14ac:dyDescent="0.25">
      <c r="A43" s="373" t="s">
        <v>139</v>
      </c>
      <c r="B43" s="352" t="s">
        <v>138</v>
      </c>
      <c r="C43" s="406"/>
      <c r="D43" s="369"/>
      <c r="E43" s="406">
        <f>F43-D43</f>
        <v>0</v>
      </c>
      <c r="F43" s="369"/>
      <c r="G43" s="408">
        <v>1500000</v>
      </c>
      <c r="H43" s="16"/>
      <c r="I43" s="402"/>
    </row>
    <row r="44" spans="1:9" ht="15" customHeight="1" x14ac:dyDescent="0.25">
      <c r="A44" s="373" t="s">
        <v>42</v>
      </c>
      <c r="B44" s="352" t="s">
        <v>176</v>
      </c>
      <c r="C44" s="406">
        <v>79982</v>
      </c>
      <c r="D44" s="369"/>
      <c r="E44" s="406">
        <f>F44-D44</f>
        <v>0</v>
      </c>
      <c r="F44" s="369"/>
      <c r="G44" s="408"/>
      <c r="H44" s="16"/>
      <c r="I44" s="402"/>
    </row>
    <row r="45" spans="1:9" ht="15" customHeight="1" x14ac:dyDescent="0.25">
      <c r="A45" s="434" t="s">
        <v>673</v>
      </c>
      <c r="B45" s="352"/>
      <c r="C45" s="406"/>
      <c r="D45" s="369"/>
      <c r="E45" s="406">
        <f>F45-D45</f>
        <v>100000</v>
      </c>
      <c r="F45" s="369">
        <v>100000</v>
      </c>
      <c r="G45" s="408">
        <v>150000</v>
      </c>
      <c r="H45" s="16"/>
      <c r="I45" s="402"/>
    </row>
    <row r="46" spans="1:9" ht="15" customHeight="1" x14ac:dyDescent="0.25">
      <c r="A46" s="434" t="s">
        <v>463</v>
      </c>
      <c r="B46" s="352"/>
      <c r="C46" s="406">
        <v>299996.25</v>
      </c>
      <c r="D46" s="369">
        <v>492006.5</v>
      </c>
      <c r="E46" s="406">
        <f>F46-D46</f>
        <v>7993.5</v>
      </c>
      <c r="F46" s="369">
        <v>500000</v>
      </c>
      <c r="G46" s="408">
        <v>370000</v>
      </c>
      <c r="H46" s="16"/>
      <c r="I46" s="402"/>
    </row>
    <row r="47" spans="1:9" ht="30" customHeight="1" x14ac:dyDescent="0.25">
      <c r="A47" s="396" t="s">
        <v>86</v>
      </c>
      <c r="B47" s="397"/>
      <c r="C47" s="398">
        <f>SUM(C34:C46)</f>
        <v>769853.25</v>
      </c>
      <c r="D47" s="398">
        <f>SUM(D34:D46)</f>
        <v>700756.5</v>
      </c>
      <c r="E47" s="398">
        <f>SUM(E34:E46)</f>
        <v>443243.5</v>
      </c>
      <c r="F47" s="398">
        <f>SUM(F34:F46)</f>
        <v>1144000</v>
      </c>
      <c r="G47" s="398">
        <f>SUM(G34:G46)</f>
        <v>2583800</v>
      </c>
      <c r="H47" s="786">
        <v>913800</v>
      </c>
      <c r="I47" s="792">
        <f>PERMITS_MOOE-H47</f>
        <v>1670000</v>
      </c>
    </row>
    <row r="48" spans="1:9" x14ac:dyDescent="0.25">
      <c r="A48" s="429" t="s">
        <v>88</v>
      </c>
      <c r="B48" s="362"/>
      <c r="C48" s="430"/>
      <c r="D48" s="363"/>
      <c r="E48" s="430"/>
      <c r="F48" s="363"/>
      <c r="G48" s="431"/>
      <c r="H48" s="16"/>
      <c r="I48" s="402"/>
    </row>
    <row r="49" spans="1:9" x14ac:dyDescent="0.25">
      <c r="A49" s="396" t="s">
        <v>112</v>
      </c>
      <c r="B49" s="436"/>
      <c r="C49" s="398">
        <f>SUM(C48:C48)</f>
        <v>0</v>
      </c>
      <c r="D49" s="398">
        <f>SUM(D48:D48)</f>
        <v>0</v>
      </c>
      <c r="E49" s="398">
        <f>SUM(E48:E48)</f>
        <v>0</v>
      </c>
      <c r="F49" s="398">
        <f>SUM(F48:F48)</f>
        <v>0</v>
      </c>
      <c r="G49" s="779">
        <f>SUM(G48)</f>
        <v>0</v>
      </c>
      <c r="H49" s="16"/>
      <c r="I49" s="402"/>
    </row>
    <row r="50" spans="1:9" x14ac:dyDescent="0.25">
      <c r="A50" s="419" t="s">
        <v>113</v>
      </c>
      <c r="B50" s="437"/>
      <c r="C50" s="421">
        <f>C33+C47+C49</f>
        <v>3840603.46</v>
      </c>
      <c r="D50" s="421">
        <f>D33+D47+D49</f>
        <v>2177384.58</v>
      </c>
      <c r="E50" s="421">
        <f>E33+E47+E49</f>
        <v>2177412.1080000005</v>
      </c>
      <c r="F50" s="421">
        <f>F33+F47+F49</f>
        <v>4354796.688000001</v>
      </c>
      <c r="G50" s="421">
        <f>G33+G47+G49</f>
        <v>6035319.5759999994</v>
      </c>
      <c r="H50" s="16"/>
      <c r="I50" s="402"/>
    </row>
    <row r="51" spans="1:9" x14ac:dyDescent="0.25">
      <c r="A51" s="16"/>
      <c r="B51" s="16"/>
      <c r="C51" s="16"/>
      <c r="D51" s="16"/>
      <c r="E51" s="16"/>
      <c r="F51" s="16"/>
      <c r="G51" s="16"/>
      <c r="H51" s="16"/>
      <c r="I51" s="402"/>
    </row>
    <row r="52" spans="1:9" x14ac:dyDescent="0.25">
      <c r="A52" s="16"/>
      <c r="B52" s="16"/>
      <c r="C52" s="16"/>
      <c r="D52" s="16"/>
      <c r="E52" s="16"/>
      <c r="F52" s="16"/>
      <c r="G52" s="16"/>
      <c r="H52" s="16"/>
      <c r="I52" s="402"/>
    </row>
    <row r="53" spans="1:9" x14ac:dyDescent="0.25">
      <c r="A53" s="16"/>
      <c r="B53" s="16"/>
      <c r="C53" s="16"/>
      <c r="D53" s="16"/>
      <c r="E53" s="16"/>
      <c r="F53" s="16"/>
      <c r="G53" s="16"/>
      <c r="H53" s="16"/>
      <c r="I53" s="402"/>
    </row>
    <row r="54" spans="1:9" x14ac:dyDescent="0.25">
      <c r="A54" s="16"/>
      <c r="B54" s="16"/>
      <c r="C54" s="16"/>
      <c r="D54" s="16"/>
      <c r="E54" s="16"/>
      <c r="F54" s="16"/>
      <c r="G54" s="16"/>
      <c r="H54" s="16"/>
      <c r="I54" s="402"/>
    </row>
    <row r="55" spans="1:9" x14ac:dyDescent="0.25">
      <c r="A55" s="16"/>
      <c r="B55" s="16"/>
      <c r="C55" s="16"/>
      <c r="D55" s="16"/>
      <c r="E55" s="16"/>
      <c r="F55" s="16"/>
      <c r="G55" s="16"/>
      <c r="H55" s="16"/>
      <c r="I55" s="402"/>
    </row>
    <row r="56" spans="1:9" x14ac:dyDescent="0.25">
      <c r="A56" s="16"/>
      <c r="B56" s="16"/>
      <c r="C56" s="16"/>
      <c r="D56" s="16"/>
      <c r="E56" s="16"/>
      <c r="F56" s="16"/>
      <c r="G56" s="16"/>
      <c r="H56" s="16"/>
      <c r="I56" s="402"/>
    </row>
    <row r="57" spans="1:9" x14ac:dyDescent="0.25">
      <c r="A57" s="16"/>
      <c r="B57" s="16"/>
      <c r="C57" s="16"/>
      <c r="D57" s="16"/>
      <c r="E57" s="16"/>
      <c r="F57" s="16"/>
      <c r="G57" s="16"/>
      <c r="H57" s="16"/>
      <c r="I57" s="402"/>
    </row>
    <row r="58" spans="1:9" x14ac:dyDescent="0.25">
      <c r="A58" s="16"/>
      <c r="B58" s="16"/>
      <c r="C58" s="16"/>
      <c r="D58" s="16"/>
      <c r="E58" s="16"/>
      <c r="F58" s="16"/>
      <c r="G58" s="16"/>
      <c r="H58" s="16"/>
      <c r="I58" s="402"/>
    </row>
    <row r="59" spans="1:9" x14ac:dyDescent="0.25">
      <c r="A59" s="16"/>
      <c r="B59" s="16"/>
      <c r="C59" s="16"/>
      <c r="D59" s="16"/>
      <c r="E59" s="16"/>
      <c r="F59" s="16"/>
      <c r="G59" s="16"/>
      <c r="H59" s="16"/>
      <c r="I59" s="402"/>
    </row>
    <row r="60" spans="1:9" x14ac:dyDescent="0.25">
      <c r="A60" s="16"/>
      <c r="B60" s="16"/>
      <c r="C60" s="16"/>
      <c r="D60" s="16"/>
      <c r="E60" s="16"/>
      <c r="F60" s="16"/>
      <c r="G60" s="16"/>
      <c r="H60" s="16"/>
      <c r="I60" s="402"/>
    </row>
    <row r="61" spans="1:9" x14ac:dyDescent="0.25">
      <c r="A61" s="16"/>
      <c r="B61" s="16"/>
      <c r="C61" s="16"/>
      <c r="D61" s="16"/>
      <c r="E61" s="16"/>
      <c r="F61" s="16"/>
      <c r="G61" s="16"/>
      <c r="H61" s="16"/>
      <c r="I61" s="402"/>
    </row>
    <row r="62" spans="1:9" x14ac:dyDescent="0.25">
      <c r="A62" s="16"/>
      <c r="B62" s="16"/>
      <c r="C62" s="16"/>
      <c r="D62" s="16"/>
      <c r="E62" s="16"/>
      <c r="F62" s="16"/>
      <c r="G62" s="16"/>
      <c r="H62" s="16"/>
      <c r="I62" s="402"/>
    </row>
    <row r="63" spans="1:9" x14ac:dyDescent="0.25">
      <c r="A63" s="16"/>
      <c r="B63" s="16"/>
      <c r="C63" s="16"/>
      <c r="D63" s="16"/>
      <c r="E63" s="16"/>
      <c r="F63" s="16"/>
      <c r="G63" s="16"/>
      <c r="H63" s="16"/>
      <c r="I63" s="402"/>
    </row>
    <row r="64" spans="1:9" x14ac:dyDescent="0.25">
      <c r="A64" s="16"/>
      <c r="B64" s="16"/>
      <c r="C64" s="16"/>
      <c r="D64" s="16"/>
      <c r="E64" s="16"/>
      <c r="F64" s="16"/>
      <c r="G64" s="16"/>
      <c r="H64" s="16"/>
      <c r="I64" s="402"/>
    </row>
    <row r="65" spans="1:9" x14ac:dyDescent="0.25">
      <c r="A65" s="16"/>
      <c r="B65" s="16"/>
      <c r="C65" s="16"/>
      <c r="D65" s="16"/>
      <c r="E65" s="16"/>
      <c r="F65" s="16"/>
      <c r="G65" s="16"/>
      <c r="H65" s="16"/>
      <c r="I65" s="402"/>
    </row>
    <row r="66" spans="1:9" x14ac:dyDescent="0.25">
      <c r="A66" s="16"/>
      <c r="B66" s="16"/>
      <c r="C66" s="16"/>
      <c r="D66" s="16"/>
      <c r="E66" s="16"/>
      <c r="F66" s="16"/>
      <c r="G66" s="16"/>
      <c r="H66" s="16"/>
      <c r="I66" s="402"/>
    </row>
    <row r="67" spans="1:9" x14ac:dyDescent="0.25">
      <c r="A67" s="16"/>
      <c r="B67" s="16"/>
      <c r="C67" s="16"/>
      <c r="D67" s="16"/>
      <c r="E67" s="16"/>
      <c r="F67" s="16"/>
      <c r="G67" s="16"/>
      <c r="H67" s="16"/>
      <c r="I67" s="402"/>
    </row>
    <row r="68" spans="1:9" x14ac:dyDescent="0.25">
      <c r="A68" s="16"/>
      <c r="B68" s="16"/>
      <c r="C68" s="16"/>
      <c r="D68" s="16"/>
      <c r="E68" s="16"/>
      <c r="F68" s="16"/>
      <c r="G68" s="16"/>
      <c r="H68" s="16"/>
      <c r="I68" s="402"/>
    </row>
    <row r="69" spans="1:9" x14ac:dyDescent="0.25">
      <c r="A69" s="16"/>
      <c r="B69" s="16"/>
      <c r="C69" s="16"/>
      <c r="D69" s="16"/>
      <c r="E69" s="16"/>
      <c r="F69" s="16"/>
      <c r="G69" s="16"/>
      <c r="H69" s="16"/>
      <c r="I69" s="402"/>
    </row>
    <row r="70" spans="1:9" x14ac:dyDescent="0.25">
      <c r="A70" s="16"/>
      <c r="B70" s="16"/>
      <c r="C70" s="16"/>
      <c r="D70" s="16"/>
      <c r="E70" s="16"/>
      <c r="F70" s="16"/>
      <c r="G70" s="16"/>
      <c r="H70" s="16"/>
      <c r="I70" s="402"/>
    </row>
    <row r="71" spans="1:9" x14ac:dyDescent="0.25">
      <c r="A71" s="16"/>
      <c r="B71" s="16"/>
      <c r="C71" s="16"/>
      <c r="D71" s="16"/>
      <c r="E71" s="16"/>
      <c r="F71" s="16"/>
      <c r="G71" s="16"/>
      <c r="H71" s="16"/>
      <c r="I71" s="402"/>
    </row>
    <row r="72" spans="1:9" x14ac:dyDescent="0.25">
      <c r="A72" s="16"/>
      <c r="B72" s="16"/>
      <c r="C72" s="16"/>
      <c r="D72" s="16"/>
      <c r="E72" s="16"/>
      <c r="F72" s="16"/>
      <c r="G72" s="16"/>
      <c r="H72" s="16"/>
      <c r="I72" s="402"/>
    </row>
    <row r="73" spans="1:9" ht="15.75" thickBot="1" x14ac:dyDescent="0.3">
      <c r="A73" s="16"/>
      <c r="B73" s="16"/>
      <c r="C73" s="16"/>
      <c r="D73" s="16"/>
      <c r="E73" s="16"/>
      <c r="F73" s="16"/>
      <c r="G73" s="16"/>
      <c r="H73" s="16"/>
      <c r="I73" s="402"/>
    </row>
    <row r="74" spans="1:9" ht="15.75" thickBot="1" x14ac:dyDescent="0.3">
      <c r="A74" s="16"/>
      <c r="B74" s="16"/>
      <c r="C74" s="16"/>
      <c r="D74" s="16"/>
      <c r="E74" s="16"/>
      <c r="F74" s="16"/>
      <c r="G74" s="16"/>
      <c r="H74" s="627"/>
      <c r="I74" s="402"/>
    </row>
    <row r="75" spans="1:9" x14ac:dyDescent="0.25">
      <c r="A75" s="16"/>
      <c r="B75" s="16"/>
      <c r="C75" s="16"/>
      <c r="D75" s="16"/>
      <c r="E75" s="16"/>
      <c r="F75" s="16"/>
      <c r="G75" s="16"/>
      <c r="H75" s="16"/>
      <c r="I75" s="402"/>
    </row>
    <row r="76" spans="1:9" x14ac:dyDescent="0.25">
      <c r="A76" s="16"/>
      <c r="B76" s="16"/>
      <c r="C76" s="16"/>
      <c r="D76" s="16"/>
      <c r="E76" s="16"/>
      <c r="F76" s="16"/>
      <c r="G76" s="16"/>
      <c r="H76" s="16"/>
      <c r="I76" s="402"/>
    </row>
    <row r="77" spans="1:9" x14ac:dyDescent="0.25">
      <c r="A77" s="16"/>
      <c r="B77" s="16"/>
      <c r="C77" s="16"/>
      <c r="D77" s="16"/>
      <c r="E77" s="16"/>
      <c r="F77" s="16"/>
      <c r="G77" s="16"/>
      <c r="H77" s="16"/>
      <c r="I77" s="402"/>
    </row>
    <row r="78" spans="1:9" x14ac:dyDescent="0.25">
      <c r="A78" s="16"/>
      <c r="B78" s="16"/>
      <c r="C78" s="16"/>
      <c r="D78" s="16"/>
      <c r="E78" s="16"/>
      <c r="F78" s="16"/>
      <c r="G78" s="16"/>
      <c r="H78" s="16"/>
      <c r="I78" s="402"/>
    </row>
    <row r="79" spans="1:9" x14ac:dyDescent="0.25">
      <c r="A79" s="16"/>
      <c r="B79" s="16"/>
      <c r="C79" s="16"/>
      <c r="D79" s="16"/>
      <c r="E79" s="16"/>
      <c r="F79" s="16"/>
      <c r="G79" s="16"/>
      <c r="H79" s="16"/>
      <c r="I79" s="402"/>
    </row>
    <row r="80" spans="1:9" x14ac:dyDescent="0.25">
      <c r="A80" s="16"/>
      <c r="B80" s="16"/>
      <c r="C80" s="16"/>
      <c r="D80" s="16"/>
      <c r="E80" s="16"/>
      <c r="F80" s="16"/>
      <c r="G80" s="16"/>
      <c r="H80" s="16"/>
      <c r="I80" s="402"/>
    </row>
    <row r="81" spans="1:9" x14ac:dyDescent="0.25">
      <c r="A81" s="16"/>
      <c r="B81" s="16"/>
      <c r="C81" s="16"/>
      <c r="D81" s="16"/>
      <c r="E81" s="16"/>
      <c r="F81" s="16"/>
      <c r="G81" s="16"/>
      <c r="H81" s="16"/>
      <c r="I81" s="402"/>
    </row>
    <row r="82" spans="1:9" x14ac:dyDescent="0.25">
      <c r="A82" s="16"/>
      <c r="B82" s="16"/>
      <c r="C82" s="16"/>
      <c r="D82" s="16"/>
      <c r="E82" s="16"/>
      <c r="F82" s="16"/>
      <c r="G82" s="16"/>
      <c r="H82" s="16"/>
      <c r="I82" s="402"/>
    </row>
    <row r="83" spans="1:9" x14ac:dyDescent="0.25">
      <c r="A83" s="16"/>
      <c r="B83" s="16"/>
      <c r="C83" s="16"/>
      <c r="D83" s="16"/>
      <c r="E83" s="16"/>
      <c r="F83" s="16"/>
      <c r="G83" s="16"/>
      <c r="H83" s="16"/>
      <c r="I83" s="402"/>
    </row>
    <row r="84" spans="1:9" ht="38.25" customHeight="1" x14ac:dyDescent="0.25">
      <c r="A84" s="16"/>
      <c r="B84" s="16"/>
      <c r="C84" s="16"/>
      <c r="D84" s="16"/>
      <c r="E84" s="16"/>
      <c r="F84" s="16"/>
      <c r="G84" s="16"/>
      <c r="H84" s="16"/>
      <c r="I84" s="402"/>
    </row>
    <row r="85" spans="1:9" x14ac:dyDescent="0.25">
      <c r="A85" s="16"/>
      <c r="B85" s="16"/>
      <c r="C85" s="16"/>
      <c r="D85" s="16"/>
      <c r="E85" s="16"/>
      <c r="F85" s="16"/>
      <c r="G85" s="16"/>
      <c r="H85" s="16"/>
      <c r="I85" s="402"/>
    </row>
    <row r="86" spans="1:9" x14ac:dyDescent="0.25">
      <c r="A86" s="16"/>
      <c r="B86" s="16"/>
      <c r="C86" s="16"/>
      <c r="D86" s="16"/>
      <c r="E86" s="16"/>
      <c r="F86" s="16"/>
      <c r="G86" s="16"/>
      <c r="H86" s="16"/>
      <c r="I86" s="402"/>
    </row>
    <row r="87" spans="1:9" x14ac:dyDescent="0.25">
      <c r="A87" s="16"/>
      <c r="B87" s="16"/>
      <c r="C87" s="16"/>
      <c r="D87" s="16"/>
      <c r="E87" s="16"/>
      <c r="F87" s="16"/>
      <c r="G87" s="16"/>
      <c r="H87" s="16"/>
      <c r="I87" s="402"/>
    </row>
    <row r="88" spans="1:9" x14ac:dyDescent="0.25">
      <c r="A88" s="16"/>
      <c r="B88" s="16"/>
      <c r="C88" s="16"/>
      <c r="D88" s="16"/>
      <c r="E88" s="16"/>
      <c r="F88" s="16"/>
      <c r="G88" s="16"/>
      <c r="H88" s="16"/>
      <c r="I88" s="402"/>
    </row>
    <row r="89" spans="1:9" x14ac:dyDescent="0.25">
      <c r="A89" s="16"/>
      <c r="B89" s="353"/>
      <c r="C89" s="16"/>
      <c r="D89" s="16"/>
      <c r="E89" s="16"/>
      <c r="F89" s="16"/>
      <c r="G89" s="16"/>
      <c r="H89" s="16"/>
      <c r="I89" s="402"/>
    </row>
    <row r="90" spans="1:9" x14ac:dyDescent="0.25">
      <c r="A90" s="16"/>
      <c r="B90" s="16"/>
      <c r="C90" s="16"/>
      <c r="D90" s="16"/>
      <c r="E90" s="16"/>
      <c r="F90" s="16"/>
      <c r="G90" s="16"/>
      <c r="H90" s="16"/>
      <c r="I90" s="402"/>
    </row>
    <row r="91" spans="1:9" x14ac:dyDescent="0.25">
      <c r="A91" s="16"/>
      <c r="B91" s="16"/>
      <c r="C91" s="16"/>
      <c r="D91" s="16"/>
      <c r="E91" s="16"/>
      <c r="F91" s="16"/>
      <c r="G91" s="16"/>
      <c r="H91" s="16"/>
      <c r="I91" s="402"/>
    </row>
    <row r="92" spans="1:9" x14ac:dyDescent="0.25">
      <c r="A92" s="16"/>
      <c r="B92" s="16"/>
      <c r="C92" s="16"/>
      <c r="D92" s="16"/>
      <c r="E92" s="16"/>
      <c r="F92" s="16"/>
      <c r="G92" s="16"/>
      <c r="H92" s="16"/>
      <c r="I92"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L101"/>
  <sheetViews>
    <sheetView view="pageBreakPreview" topLeftCell="A4" zoomScaleNormal="100" zoomScaleSheetLayoutView="100" workbookViewId="0">
      <pane xSplit="2" ySplit="5" topLeftCell="C54"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7109375" style="755" bestFit="1" customWidth="1"/>
    <col min="9" max="9" width="18.85546875" style="49" customWidth="1"/>
    <col min="10" max="10" width="18.85546875" style="41" customWidth="1"/>
    <col min="11"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122</v>
      </c>
      <c r="B4" s="1075"/>
      <c r="C4" s="1075"/>
      <c r="D4" s="1075"/>
      <c r="E4" s="1075"/>
      <c r="F4" s="1075"/>
      <c r="G4" s="1075"/>
    </row>
    <row r="6" spans="1:9" s="43" customFormat="1" ht="12" x14ac:dyDescent="0.2">
      <c r="A6" s="1099" t="s">
        <v>1</v>
      </c>
      <c r="B6" s="1099" t="s">
        <v>2</v>
      </c>
      <c r="C6" s="1099" t="s">
        <v>310</v>
      </c>
      <c r="D6" s="1100" t="s">
        <v>307</v>
      </c>
      <c r="E6" s="1100"/>
      <c r="F6" s="1100"/>
      <c r="G6" s="1099" t="s">
        <v>311</v>
      </c>
      <c r="H6" s="756"/>
      <c r="I6" s="1050"/>
    </row>
    <row r="7" spans="1:9" s="43" customFormat="1" ht="12" x14ac:dyDescent="0.2">
      <c r="A7" s="1099"/>
      <c r="B7" s="1099"/>
      <c r="C7" s="1099"/>
      <c r="D7" s="1100"/>
      <c r="E7" s="1100"/>
      <c r="F7" s="1100"/>
      <c r="G7" s="1099"/>
      <c r="H7" s="756"/>
      <c r="I7" s="1050"/>
    </row>
    <row r="8" spans="1:9" s="43" customFormat="1" ht="24" x14ac:dyDescent="0.2">
      <c r="A8" s="1099"/>
      <c r="B8" s="1099"/>
      <c r="C8" s="1099"/>
      <c r="D8" s="359" t="s">
        <v>308</v>
      </c>
      <c r="E8" s="359" t="s">
        <v>309</v>
      </c>
      <c r="F8" s="359" t="s">
        <v>3</v>
      </c>
      <c r="G8" s="1099"/>
      <c r="H8" s="756"/>
      <c r="I8" s="1050"/>
    </row>
    <row r="9" spans="1:9" s="70" customFormat="1" ht="11.25" x14ac:dyDescent="0.25">
      <c r="A9" s="360">
        <v>1</v>
      </c>
      <c r="B9" s="360">
        <v>2</v>
      </c>
      <c r="C9" s="360">
        <v>3</v>
      </c>
      <c r="D9" s="360">
        <v>4</v>
      </c>
      <c r="E9" s="360">
        <v>5</v>
      </c>
      <c r="F9" s="360">
        <v>6</v>
      </c>
      <c r="G9" s="360">
        <v>7</v>
      </c>
      <c r="H9" s="762" t="s">
        <v>497</v>
      </c>
      <c r="I9" s="1051"/>
    </row>
    <row r="10" spans="1:9" ht="15" customHeight="1" x14ac:dyDescent="0.25">
      <c r="A10" s="429" t="s">
        <v>4</v>
      </c>
      <c r="B10" s="362"/>
      <c r="C10" s="430"/>
      <c r="D10" s="363"/>
      <c r="E10" s="430"/>
      <c r="F10" s="363"/>
      <c r="G10" s="621"/>
      <c r="H10" s="758">
        <v>13</v>
      </c>
      <c r="I10" s="402"/>
    </row>
    <row r="11" spans="1:9" ht="15" customHeight="1" x14ac:dyDescent="0.25">
      <c r="A11" s="403" t="s">
        <v>5</v>
      </c>
      <c r="B11" s="365"/>
      <c r="C11" s="404"/>
      <c r="D11" s="366"/>
      <c r="E11" s="404"/>
      <c r="F11" s="366"/>
      <c r="G11" s="408"/>
      <c r="H11" s="758"/>
      <c r="I11" s="402"/>
    </row>
    <row r="12" spans="1:9" ht="15" customHeight="1" x14ac:dyDescent="0.25">
      <c r="A12" s="373" t="str">
        <f>"Salaries and Wages - Regular (" &amp; H10 &amp; ")"</f>
        <v>Salaries and Wages - Regular (13)</v>
      </c>
      <c r="B12" s="352" t="s">
        <v>6</v>
      </c>
      <c r="C12" s="406">
        <v>4076523.6</v>
      </c>
      <c r="D12" s="369">
        <v>2145316.65</v>
      </c>
      <c r="E12" s="406">
        <f>F12-D12</f>
        <v>2415428.5499999993</v>
      </c>
      <c r="F12" s="369">
        <v>4560745.1999999993</v>
      </c>
      <c r="G12" s="408">
        <f>H12+I12</f>
        <v>4884094.8</v>
      </c>
      <c r="H12" s="370">
        <v>4728094.8</v>
      </c>
      <c r="I12" s="402">
        <f>I15/2</f>
        <v>156000</v>
      </c>
    </row>
    <row r="13" spans="1:9" ht="25.5" x14ac:dyDescent="0.25">
      <c r="A13" s="373" t="s">
        <v>458</v>
      </c>
      <c r="B13" s="352" t="s">
        <v>121</v>
      </c>
      <c r="C13" s="406">
        <v>648685.85</v>
      </c>
      <c r="D13" s="369">
        <v>325819.86</v>
      </c>
      <c r="E13" s="406">
        <f>F13-D13</f>
        <v>524180.14</v>
      </c>
      <c r="F13" s="369">
        <v>850000</v>
      </c>
      <c r="G13" s="408">
        <v>870000</v>
      </c>
      <c r="H13" s="370"/>
      <c r="I13" s="402"/>
    </row>
    <row r="14" spans="1:9" ht="15" customHeight="1" x14ac:dyDescent="0.25">
      <c r="A14" s="403" t="s">
        <v>7</v>
      </c>
      <c r="B14" s="365"/>
      <c r="C14" s="404"/>
      <c r="D14" s="366"/>
      <c r="E14" s="406"/>
      <c r="F14" s="366"/>
      <c r="G14" s="408"/>
      <c r="H14" s="758"/>
      <c r="I14" s="402"/>
    </row>
    <row r="15" spans="1:9" ht="15" customHeight="1" x14ac:dyDescent="0.25">
      <c r="A15" s="373" t="s">
        <v>8</v>
      </c>
      <c r="B15" s="352" t="s">
        <v>9</v>
      </c>
      <c r="C15" s="406">
        <v>312000</v>
      </c>
      <c r="D15" s="369">
        <v>161727.26999999999</v>
      </c>
      <c r="E15" s="406">
        <f t="shared" ref="E15:E20" si="0">F15-D15</f>
        <v>150272.73000000001</v>
      </c>
      <c r="F15" s="369">
        <v>312000</v>
      </c>
      <c r="G15" s="408">
        <f>param_pera*CVMO_PLATILLA_ITEMS*12</f>
        <v>312000</v>
      </c>
      <c r="H15" s="374"/>
      <c r="I15" s="402">
        <v>312000</v>
      </c>
    </row>
    <row r="16" spans="1:9" ht="15" customHeight="1" x14ac:dyDescent="0.25">
      <c r="A16" s="373" t="s">
        <v>11</v>
      </c>
      <c r="B16" s="352" t="s">
        <v>12</v>
      </c>
      <c r="C16" s="406">
        <v>97200</v>
      </c>
      <c r="D16" s="369">
        <v>48600</v>
      </c>
      <c r="E16" s="406">
        <f t="shared" si="0"/>
        <v>48600</v>
      </c>
      <c r="F16" s="369">
        <v>97200</v>
      </c>
      <c r="G16" s="408">
        <f>H16*12</f>
        <v>97200</v>
      </c>
      <c r="H16" s="374">
        <v>8100</v>
      </c>
      <c r="I16" s="402"/>
    </row>
    <row r="17" spans="1:12" ht="15" customHeight="1" x14ac:dyDescent="0.25">
      <c r="A17" s="373" t="s">
        <v>13</v>
      </c>
      <c r="B17" s="352" t="s">
        <v>14</v>
      </c>
      <c r="C17" s="406">
        <v>97200</v>
      </c>
      <c r="D17" s="369">
        <v>48600</v>
      </c>
      <c r="E17" s="406">
        <f t="shared" si="0"/>
        <v>48600</v>
      </c>
      <c r="F17" s="369">
        <v>97200</v>
      </c>
      <c r="G17" s="408">
        <f>H17*12</f>
        <v>97200</v>
      </c>
      <c r="H17" s="374">
        <v>8100</v>
      </c>
      <c r="I17" s="402"/>
    </row>
    <row r="18" spans="1:12" ht="15" customHeight="1" x14ac:dyDescent="0.25">
      <c r="A18" s="373" t="s">
        <v>15</v>
      </c>
      <c r="B18" s="352" t="s">
        <v>16</v>
      </c>
      <c r="C18" s="406">
        <v>78000</v>
      </c>
      <c r="D18" s="369">
        <v>78000</v>
      </c>
      <c r="E18" s="406">
        <f t="shared" si="0"/>
        <v>0</v>
      </c>
      <c r="F18" s="369">
        <v>78000</v>
      </c>
      <c r="G18" s="408">
        <f>param_uniform*CVMO_PLATILLA_ITEMS</f>
        <v>78000</v>
      </c>
      <c r="H18" s="374"/>
      <c r="I18" s="402"/>
    </row>
    <row r="19" spans="1:12" ht="15" customHeight="1" x14ac:dyDescent="0.25">
      <c r="A19" s="373" t="s">
        <v>17</v>
      </c>
      <c r="B19" s="352" t="s">
        <v>18</v>
      </c>
      <c r="C19" s="406">
        <v>345161</v>
      </c>
      <c r="D19" s="369"/>
      <c r="E19" s="406">
        <f t="shared" si="0"/>
        <v>380062.09999999992</v>
      </c>
      <c r="F19" s="369">
        <v>380062.09999999992</v>
      </c>
      <c r="G19" s="408">
        <f>H12/12+I19</f>
        <v>472007.89999999997</v>
      </c>
      <c r="H19" s="374"/>
      <c r="I19" s="402">
        <f>I15/4</f>
        <v>78000</v>
      </c>
    </row>
    <row r="20" spans="1:12" ht="15" customHeight="1" x14ac:dyDescent="0.25">
      <c r="A20" s="373" t="s">
        <v>19</v>
      </c>
      <c r="B20" s="352" t="s">
        <v>20</v>
      </c>
      <c r="C20" s="406">
        <v>65000</v>
      </c>
      <c r="D20" s="369"/>
      <c r="E20" s="406">
        <f t="shared" si="0"/>
        <v>65000</v>
      </c>
      <c r="F20" s="369">
        <v>65000</v>
      </c>
      <c r="G20" s="408">
        <f>param_cash_gift*CVMO_PLATILLA_ITEMS</f>
        <v>65000</v>
      </c>
      <c r="H20" s="374"/>
      <c r="I20" s="402"/>
      <c r="L20" s="41" t="s">
        <v>610</v>
      </c>
    </row>
    <row r="21" spans="1:12" ht="15" customHeight="1" x14ac:dyDescent="0.25">
      <c r="A21" s="403" t="s">
        <v>21</v>
      </c>
      <c r="B21" s="365"/>
      <c r="C21" s="404"/>
      <c r="D21" s="366"/>
      <c r="E21" s="406"/>
      <c r="F21" s="366"/>
      <c r="G21" s="408"/>
      <c r="H21" s="374"/>
      <c r="I21" s="402"/>
    </row>
    <row r="22" spans="1:12" ht="15" customHeight="1" x14ac:dyDescent="0.25">
      <c r="A22" s="373" t="s">
        <v>22</v>
      </c>
      <c r="B22" s="352" t="s">
        <v>23</v>
      </c>
      <c r="C22" s="406">
        <v>495614.89</v>
      </c>
      <c r="D22" s="369">
        <v>257438</v>
      </c>
      <c r="E22" s="406">
        <f t="shared" ref="E22:E25" si="1">F22-D22</f>
        <v>289851.42399999988</v>
      </c>
      <c r="F22" s="369">
        <v>547289.42399999988</v>
      </c>
      <c r="G22" s="408">
        <f>H12*12%</f>
        <v>567371.37599999993</v>
      </c>
      <c r="H22" s="374"/>
      <c r="I22" s="402"/>
    </row>
    <row r="23" spans="1:12" ht="15" customHeight="1" x14ac:dyDescent="0.25">
      <c r="A23" s="373" t="s">
        <v>24</v>
      </c>
      <c r="B23" s="352" t="s">
        <v>25</v>
      </c>
      <c r="C23" s="406">
        <v>15600</v>
      </c>
      <c r="D23" s="369">
        <v>7800</v>
      </c>
      <c r="E23" s="369">
        <f t="shared" si="1"/>
        <v>15600</v>
      </c>
      <c r="F23" s="622">
        <v>23400</v>
      </c>
      <c r="G23" s="408">
        <f>param_pagibig*CVMO_PLATILLA_ITEMS*12</f>
        <v>23400</v>
      </c>
      <c r="H23" s="374"/>
      <c r="I23" s="402"/>
    </row>
    <row r="24" spans="1:12" ht="15" customHeight="1" x14ac:dyDescent="0.25">
      <c r="A24" s="373" t="s">
        <v>26</v>
      </c>
      <c r="B24" s="352" t="s">
        <v>27</v>
      </c>
      <c r="C24" s="406">
        <v>61094.080000000002</v>
      </c>
      <c r="D24" s="369">
        <v>40085.68</v>
      </c>
      <c r="E24" s="369">
        <f t="shared" si="1"/>
        <v>61914.32</v>
      </c>
      <c r="F24" s="622">
        <v>102000</v>
      </c>
      <c r="G24" s="408">
        <f>ROUND(H24+(H24*0.1), -1)</f>
        <v>95370</v>
      </c>
      <c r="H24" s="374">
        <v>86701.37</v>
      </c>
      <c r="I24" s="402"/>
    </row>
    <row r="25" spans="1:12" ht="15" customHeight="1" x14ac:dyDescent="0.25">
      <c r="A25" s="373" t="s">
        <v>28</v>
      </c>
      <c r="B25" s="352" t="s">
        <v>29</v>
      </c>
      <c r="C25" s="406">
        <v>15600</v>
      </c>
      <c r="D25" s="369">
        <v>7800</v>
      </c>
      <c r="E25" s="369">
        <f t="shared" si="1"/>
        <v>15600</v>
      </c>
      <c r="F25" s="622">
        <v>23400</v>
      </c>
      <c r="G25" s="408">
        <f>param_ecc*CVMO_PLATILLA_ITEMS*12</f>
        <v>23400</v>
      </c>
      <c r="H25" s="374"/>
      <c r="I25" s="402"/>
    </row>
    <row r="26" spans="1:12" ht="15" customHeight="1" x14ac:dyDescent="0.25">
      <c r="A26" s="403" t="s">
        <v>30</v>
      </c>
      <c r="B26" s="365"/>
      <c r="C26" s="404"/>
      <c r="D26" s="366"/>
      <c r="E26" s="369"/>
      <c r="F26" s="623"/>
      <c r="G26" s="408"/>
      <c r="H26" s="374"/>
      <c r="I26" s="402"/>
    </row>
    <row r="27" spans="1:12" ht="15" customHeight="1" x14ac:dyDescent="0.25">
      <c r="A27" s="373" t="s">
        <v>31</v>
      </c>
      <c r="B27" s="352" t="s">
        <v>32</v>
      </c>
      <c r="C27" s="406"/>
      <c r="D27" s="369"/>
      <c r="E27" s="369"/>
      <c r="F27" s="622"/>
      <c r="G27" s="408"/>
      <c r="H27" s="374"/>
      <c r="I27" s="402"/>
    </row>
    <row r="28" spans="1:12" ht="15" customHeight="1" x14ac:dyDescent="0.25">
      <c r="A28" s="373" t="s">
        <v>30</v>
      </c>
      <c r="B28" s="352" t="s">
        <v>33</v>
      </c>
      <c r="C28" s="406"/>
      <c r="D28" s="369"/>
      <c r="E28" s="369"/>
      <c r="F28" s="622"/>
      <c r="G28" s="408"/>
      <c r="H28" s="763">
        <f>SUM(G28:G35)</f>
        <v>602007.89999999991</v>
      </c>
      <c r="I28" s="402"/>
    </row>
    <row r="29" spans="1:12" ht="15" customHeight="1" x14ac:dyDescent="0.25">
      <c r="A29" s="434" t="s">
        <v>332</v>
      </c>
      <c r="B29" s="352"/>
      <c r="C29" s="406">
        <v>344942</v>
      </c>
      <c r="D29" s="369">
        <v>345726</v>
      </c>
      <c r="E29" s="369">
        <f t="shared" ref="E29:E32" si="2">F29-D29</f>
        <v>34336.099999999919</v>
      </c>
      <c r="F29" s="622">
        <v>380062.09999999992</v>
      </c>
      <c r="G29" s="408">
        <f>H12/12+I29</f>
        <v>472007.89999999997</v>
      </c>
      <c r="H29" s="374"/>
      <c r="I29" s="402">
        <f>I15/4</f>
        <v>78000</v>
      </c>
    </row>
    <row r="30" spans="1:12" ht="15" customHeight="1" x14ac:dyDescent="0.25">
      <c r="A30" s="434" t="s">
        <v>333</v>
      </c>
      <c r="B30" s="352"/>
      <c r="C30" s="406">
        <v>65000</v>
      </c>
      <c r="D30" s="369"/>
      <c r="E30" s="369">
        <f t="shared" si="2"/>
        <v>65000</v>
      </c>
      <c r="F30" s="622">
        <v>65000</v>
      </c>
      <c r="G30" s="408">
        <f>param_pei*CVMO_PLATILLA_ITEMS</f>
        <v>65000</v>
      </c>
      <c r="H30" s="374"/>
      <c r="I30" s="402"/>
    </row>
    <row r="31" spans="1:12" ht="30" customHeight="1" x14ac:dyDescent="0.25">
      <c r="A31" s="434" t="s">
        <v>649</v>
      </c>
      <c r="B31" s="352"/>
      <c r="C31" s="406"/>
      <c r="D31" s="369"/>
      <c r="E31" s="369">
        <f t="shared" si="2"/>
        <v>65000</v>
      </c>
      <c r="F31" s="622">
        <v>65000</v>
      </c>
      <c r="G31" s="408">
        <f>param_pbb*CVMO_PLATILLA_ITEMS</f>
        <v>65000</v>
      </c>
      <c r="H31" s="374"/>
      <c r="I31" s="402"/>
    </row>
    <row r="32" spans="1:12" ht="15" customHeight="1" x14ac:dyDescent="0.25">
      <c r="A32" s="441" t="s">
        <v>334</v>
      </c>
      <c r="B32" s="442"/>
      <c r="C32" s="443">
        <v>5000</v>
      </c>
      <c r="D32" s="444"/>
      <c r="E32" s="369">
        <f t="shared" si="2"/>
        <v>0</v>
      </c>
      <c r="F32" s="624"/>
      <c r="G32" s="387"/>
      <c r="H32" s="763"/>
      <c r="I32" s="402"/>
    </row>
    <row r="33" spans="1:9" ht="15" customHeight="1" x14ac:dyDescent="0.25">
      <c r="A33" s="376" t="s">
        <v>650</v>
      </c>
      <c r="B33" s="352"/>
      <c r="C33" s="369">
        <v>400000</v>
      </c>
      <c r="D33" s="369"/>
      <c r="E33" s="369"/>
      <c r="F33" s="622"/>
      <c r="G33" s="369"/>
      <c r="H33" s="758"/>
      <c r="I33" s="402"/>
    </row>
    <row r="34" spans="1:9" ht="15" customHeight="1" x14ac:dyDescent="0.25">
      <c r="A34" s="376" t="s">
        <v>652</v>
      </c>
      <c r="B34" s="352"/>
      <c r="C34" s="369"/>
      <c r="D34" s="369"/>
      <c r="E34" s="369"/>
      <c r="F34" s="622"/>
      <c r="G34" s="369"/>
      <c r="H34" s="758"/>
      <c r="I34" s="402"/>
    </row>
    <row r="35" spans="1:9" ht="15" customHeight="1" x14ac:dyDescent="0.25">
      <c r="A35" s="378" t="s">
        <v>653</v>
      </c>
      <c r="B35" s="379"/>
      <c r="C35" s="380">
        <v>160000</v>
      </c>
      <c r="D35" s="380"/>
      <c r="E35" s="380"/>
      <c r="F35" s="524"/>
      <c r="G35" s="380"/>
      <c r="H35" s="758"/>
      <c r="I35" s="402"/>
    </row>
    <row r="36" spans="1:9" s="44" customFormat="1" ht="15" customHeight="1" x14ac:dyDescent="0.25">
      <c r="A36" s="396" t="s">
        <v>34</v>
      </c>
      <c r="B36" s="397"/>
      <c r="C36" s="398">
        <f>SUM(C11:C35)</f>
        <v>7282621.4199999999</v>
      </c>
      <c r="D36" s="398">
        <f t="shared" ref="D36:F36" si="3">SUM(D11:D35)</f>
        <v>3466913.46</v>
      </c>
      <c r="E36" s="398">
        <f t="shared" si="3"/>
        <v>4179445.3639999991</v>
      </c>
      <c r="F36" s="398">
        <f t="shared" si="3"/>
        <v>7646358.8239999982</v>
      </c>
      <c r="G36" s="398">
        <f>SUM(G11:G35)</f>
        <v>8187051.9760000007</v>
      </c>
      <c r="H36" s="764"/>
      <c r="I36" s="400"/>
    </row>
    <row r="37" spans="1:9" ht="15" customHeight="1" x14ac:dyDescent="0.25">
      <c r="A37" s="429" t="s">
        <v>35</v>
      </c>
      <c r="B37" s="362"/>
      <c r="C37" s="430"/>
      <c r="D37" s="363"/>
      <c r="E37" s="363"/>
      <c r="F37" s="625"/>
      <c r="G37" s="431"/>
      <c r="H37" s="374"/>
      <c r="I37" s="402"/>
    </row>
    <row r="38" spans="1:9" ht="15" customHeight="1" x14ac:dyDescent="0.25">
      <c r="A38" s="403" t="s">
        <v>44</v>
      </c>
      <c r="B38" s="365"/>
      <c r="C38" s="366"/>
      <c r="D38" s="366"/>
      <c r="E38" s="369"/>
      <c r="F38" s="623"/>
      <c r="G38" s="405"/>
      <c r="H38" s="374"/>
      <c r="I38" s="402"/>
    </row>
    <row r="39" spans="1:9" ht="15" customHeight="1" x14ac:dyDescent="0.25">
      <c r="A39" s="373" t="s">
        <v>45</v>
      </c>
      <c r="B39" s="352" t="s">
        <v>46</v>
      </c>
      <c r="C39" s="369"/>
      <c r="D39" s="369">
        <v>30500</v>
      </c>
      <c r="E39" s="369">
        <f>F39-D39</f>
        <v>119500</v>
      </c>
      <c r="F39" s="622">
        <v>150000</v>
      </c>
      <c r="G39" s="408">
        <v>150000</v>
      </c>
      <c r="H39" s="374"/>
      <c r="I39" s="402"/>
    </row>
    <row r="40" spans="1:9" ht="15" customHeight="1" x14ac:dyDescent="0.25">
      <c r="A40" s="403" t="s">
        <v>47</v>
      </c>
      <c r="B40" s="365"/>
      <c r="C40" s="366"/>
      <c r="D40" s="366"/>
      <c r="E40" s="369"/>
      <c r="F40" s="623"/>
      <c r="G40" s="405"/>
      <c r="H40" s="374"/>
      <c r="I40" s="402"/>
    </row>
    <row r="41" spans="1:9" ht="15" customHeight="1" x14ac:dyDescent="0.25">
      <c r="A41" s="373" t="s">
        <v>48</v>
      </c>
      <c r="B41" s="352" t="s">
        <v>49</v>
      </c>
      <c r="C41" s="369"/>
      <c r="D41" s="369">
        <v>16000</v>
      </c>
      <c r="E41" s="369">
        <f>F41-D41</f>
        <v>103000</v>
      </c>
      <c r="F41" s="622">
        <v>119000</v>
      </c>
      <c r="G41" s="408">
        <v>119000</v>
      </c>
      <c r="H41" s="374"/>
      <c r="I41" s="402"/>
    </row>
    <row r="42" spans="1:9" ht="15" customHeight="1" x14ac:dyDescent="0.25">
      <c r="A42" s="403" t="s">
        <v>50</v>
      </c>
      <c r="B42" s="365"/>
      <c r="C42" s="366"/>
      <c r="D42" s="366"/>
      <c r="E42" s="369"/>
      <c r="F42" s="623"/>
      <c r="G42" s="405"/>
      <c r="H42" s="374"/>
      <c r="I42" s="402"/>
    </row>
    <row r="43" spans="1:9" ht="15" customHeight="1" x14ac:dyDescent="0.25">
      <c r="A43" s="373" t="s">
        <v>51</v>
      </c>
      <c r="B43" s="352" t="s">
        <v>52</v>
      </c>
      <c r="C43" s="369">
        <v>376375.25</v>
      </c>
      <c r="D43" s="369">
        <v>149978</v>
      </c>
      <c r="E43" s="369">
        <f t="shared" ref="E43:E44" si="4">F43-D43</f>
        <v>550022</v>
      </c>
      <c r="F43" s="622">
        <v>700000</v>
      </c>
      <c r="G43" s="408">
        <v>700000</v>
      </c>
      <c r="H43" s="374"/>
      <c r="I43" s="402"/>
    </row>
    <row r="44" spans="1:9" ht="15" customHeight="1" x14ac:dyDescent="0.25">
      <c r="A44" s="373" t="s">
        <v>53</v>
      </c>
      <c r="B44" s="352" t="s">
        <v>54</v>
      </c>
      <c r="C44" s="369">
        <v>118664.13</v>
      </c>
      <c r="D44" s="369">
        <v>22833.21</v>
      </c>
      <c r="E44" s="369">
        <f t="shared" si="4"/>
        <v>127166.79000000001</v>
      </c>
      <c r="F44" s="622">
        <v>150000</v>
      </c>
      <c r="G44" s="408">
        <v>150000</v>
      </c>
      <c r="H44" s="760"/>
    </row>
    <row r="45" spans="1:9" ht="15" customHeight="1" x14ac:dyDescent="0.25">
      <c r="A45" s="403" t="s">
        <v>55</v>
      </c>
      <c r="B45" s="365"/>
      <c r="C45" s="366"/>
      <c r="D45" s="366"/>
      <c r="E45" s="369"/>
      <c r="F45" s="623"/>
      <c r="G45" s="405"/>
      <c r="H45" s="374"/>
      <c r="I45" s="402"/>
    </row>
    <row r="46" spans="1:9" ht="15" customHeight="1" x14ac:dyDescent="0.25">
      <c r="A46" s="373" t="s">
        <v>56</v>
      </c>
      <c r="B46" s="352" t="s">
        <v>57</v>
      </c>
      <c r="C46" s="369">
        <v>5860</v>
      </c>
      <c r="D46" s="369">
        <v>2820</v>
      </c>
      <c r="E46" s="369">
        <f>F46-D46</f>
        <v>27180</v>
      </c>
      <c r="F46" s="622">
        <v>30000</v>
      </c>
      <c r="G46" s="408">
        <v>30000</v>
      </c>
      <c r="H46" s="374"/>
      <c r="I46" s="402"/>
    </row>
    <row r="47" spans="1:9" x14ac:dyDescent="0.25">
      <c r="A47" s="403" t="s">
        <v>58</v>
      </c>
      <c r="B47" s="365"/>
      <c r="C47" s="366"/>
      <c r="D47" s="366"/>
      <c r="E47" s="369"/>
      <c r="F47" s="623"/>
      <c r="G47" s="405"/>
      <c r="H47" s="374"/>
      <c r="I47" s="402"/>
    </row>
    <row r="48" spans="1:9" x14ac:dyDescent="0.25">
      <c r="A48" s="373" t="s">
        <v>61</v>
      </c>
      <c r="B48" s="352" t="s">
        <v>62</v>
      </c>
      <c r="C48" s="369"/>
      <c r="D48" s="369">
        <v>13046</v>
      </c>
      <c r="E48" s="369">
        <f t="shared" ref="E48:E49" si="5">F48-D48</f>
        <v>66954</v>
      </c>
      <c r="F48" s="622">
        <v>80000</v>
      </c>
      <c r="G48" s="408">
        <v>80000</v>
      </c>
      <c r="H48" s="374"/>
      <c r="I48" s="402"/>
    </row>
    <row r="49" spans="1:9" x14ac:dyDescent="0.25">
      <c r="A49" s="373" t="s">
        <v>63</v>
      </c>
      <c r="B49" s="352" t="s">
        <v>64</v>
      </c>
      <c r="C49" s="369">
        <v>33923.620000000003</v>
      </c>
      <c r="D49" s="369">
        <v>26597.26</v>
      </c>
      <c r="E49" s="369">
        <f t="shared" si="5"/>
        <v>9402.7400000000016</v>
      </c>
      <c r="F49" s="622">
        <v>36000</v>
      </c>
      <c r="G49" s="408">
        <v>36000</v>
      </c>
      <c r="H49" s="374"/>
      <c r="I49" s="402"/>
    </row>
    <row r="50" spans="1:9" x14ac:dyDescent="0.25">
      <c r="A50" s="403" t="s">
        <v>79</v>
      </c>
      <c r="B50" s="365"/>
      <c r="C50" s="366"/>
      <c r="D50" s="366"/>
      <c r="E50" s="369"/>
      <c r="F50" s="623"/>
      <c r="G50" s="405"/>
      <c r="H50" s="374"/>
      <c r="I50" s="402"/>
    </row>
    <row r="51" spans="1:9" x14ac:dyDescent="0.25">
      <c r="A51" s="373" t="s">
        <v>80</v>
      </c>
      <c r="B51" s="352" t="s">
        <v>81</v>
      </c>
      <c r="C51" s="369">
        <v>5907700</v>
      </c>
      <c r="D51" s="369">
        <v>2769400</v>
      </c>
      <c r="E51" s="369">
        <f>F51-D51</f>
        <v>3630600</v>
      </c>
      <c r="F51" s="622">
        <v>6400000</v>
      </c>
      <c r="G51" s="470">
        <v>3400000</v>
      </c>
      <c r="H51" s="374"/>
      <c r="I51" s="402"/>
    </row>
    <row r="52" spans="1:9" x14ac:dyDescent="0.25">
      <c r="A52" s="403" t="s">
        <v>82</v>
      </c>
      <c r="B52" s="365"/>
      <c r="C52" s="366"/>
      <c r="D52" s="366"/>
      <c r="E52" s="369"/>
      <c r="F52" s="623"/>
      <c r="G52" s="405"/>
      <c r="H52" s="374"/>
      <c r="I52" s="402"/>
    </row>
    <row r="53" spans="1:9" ht="30" customHeight="1" x14ac:dyDescent="0.25">
      <c r="A53" s="373" t="s">
        <v>120</v>
      </c>
      <c r="B53" s="352" t="s">
        <v>119</v>
      </c>
      <c r="C53" s="369">
        <v>9700</v>
      </c>
      <c r="D53" s="369">
        <v>25770</v>
      </c>
      <c r="E53" s="369">
        <f>F53-D53</f>
        <v>49230</v>
      </c>
      <c r="F53" s="622">
        <v>75000</v>
      </c>
      <c r="G53" s="408">
        <v>75000</v>
      </c>
      <c r="H53" s="374"/>
      <c r="I53" s="402"/>
    </row>
    <row r="54" spans="1:9" ht="30" customHeight="1" x14ac:dyDescent="0.25">
      <c r="A54" s="373" t="s">
        <v>118</v>
      </c>
      <c r="B54" s="352" t="s">
        <v>117</v>
      </c>
      <c r="C54" s="369">
        <v>2795</v>
      </c>
      <c r="D54" s="369"/>
      <c r="E54" s="369">
        <f>F54-D54</f>
        <v>150000</v>
      </c>
      <c r="F54" s="622">
        <v>150000</v>
      </c>
      <c r="G54" s="408">
        <v>150000</v>
      </c>
      <c r="H54" s="758"/>
      <c r="I54" s="402"/>
    </row>
    <row r="55" spans="1:9" ht="30" customHeight="1" x14ac:dyDescent="0.25">
      <c r="A55" s="472" t="s">
        <v>116</v>
      </c>
      <c r="B55" s="442" t="s">
        <v>115</v>
      </c>
      <c r="C55" s="444"/>
      <c r="D55" s="444"/>
      <c r="E55" s="369">
        <f>F55-D55</f>
        <v>50000</v>
      </c>
      <c r="F55" s="624">
        <v>50000</v>
      </c>
      <c r="G55" s="387">
        <v>50000</v>
      </c>
      <c r="H55" s="758"/>
      <c r="I55" s="402"/>
    </row>
    <row r="56" spans="1:9" ht="15" customHeight="1" x14ac:dyDescent="0.25">
      <c r="A56" s="403" t="s">
        <v>42</v>
      </c>
      <c r="B56" s="365"/>
      <c r="C56" s="404"/>
      <c r="D56" s="366"/>
      <c r="E56" s="366"/>
      <c r="F56" s="623"/>
      <c r="G56" s="405"/>
      <c r="H56" s="374"/>
      <c r="I56" s="402"/>
    </row>
    <row r="57" spans="1:9" ht="15" customHeight="1" x14ac:dyDescent="0.25">
      <c r="A57" s="373" t="s">
        <v>36</v>
      </c>
      <c r="B57" s="352" t="s">
        <v>178</v>
      </c>
      <c r="C57" s="369">
        <v>500000</v>
      </c>
      <c r="D57" s="369">
        <v>185000</v>
      </c>
      <c r="E57" s="369">
        <f t="shared" ref="E57:E58" si="6">F57-D57</f>
        <v>415000</v>
      </c>
      <c r="F57" s="622">
        <v>600000</v>
      </c>
      <c r="G57" s="408">
        <v>600000</v>
      </c>
      <c r="H57" s="374"/>
      <c r="I57" s="402"/>
    </row>
    <row r="58" spans="1:9" ht="15" customHeight="1" x14ac:dyDescent="0.25">
      <c r="A58" s="373" t="s">
        <v>605</v>
      </c>
      <c r="B58" s="352" t="s">
        <v>179</v>
      </c>
      <c r="C58" s="369">
        <v>1699918.5</v>
      </c>
      <c r="D58" s="369">
        <v>2372600</v>
      </c>
      <c r="E58" s="369">
        <f t="shared" si="6"/>
        <v>1127400</v>
      </c>
      <c r="F58" s="622">
        <v>3500000</v>
      </c>
      <c r="G58" s="408">
        <v>6500000</v>
      </c>
      <c r="H58" s="374"/>
      <c r="I58" s="402"/>
    </row>
    <row r="59" spans="1:9" ht="25.5" x14ac:dyDescent="0.25">
      <c r="A59" s="373" t="s">
        <v>42</v>
      </c>
      <c r="B59" s="433" t="s">
        <v>176</v>
      </c>
      <c r="C59" s="369">
        <v>142550</v>
      </c>
      <c r="D59" s="369">
        <v>203340</v>
      </c>
      <c r="E59" s="369">
        <f>F59-D59</f>
        <v>2296660</v>
      </c>
      <c r="F59" s="622">
        <v>2500000</v>
      </c>
      <c r="G59" s="408">
        <v>2500000</v>
      </c>
      <c r="H59" s="374"/>
      <c r="I59" s="402"/>
    </row>
    <row r="60" spans="1:9" s="44" customFormat="1" ht="30" customHeight="1" x14ac:dyDescent="0.25">
      <c r="A60" s="396" t="s">
        <v>86</v>
      </c>
      <c r="B60" s="397"/>
      <c r="C60" s="398">
        <f>SUM(C37:C59)</f>
        <v>8797486.5</v>
      </c>
      <c r="D60" s="398">
        <f>SUM(D37:D59)</f>
        <v>5817884.4700000007</v>
      </c>
      <c r="E60" s="398">
        <f>SUM(E37:E59)</f>
        <v>8722115.5300000012</v>
      </c>
      <c r="F60" s="398">
        <f>SUM(F37:F59)</f>
        <v>14540000</v>
      </c>
      <c r="G60" s="398">
        <f>SUM(G37:G59)</f>
        <v>14540000</v>
      </c>
      <c r="H60" s="765"/>
      <c r="I60" s="400"/>
    </row>
    <row r="61" spans="1:9" x14ac:dyDescent="0.25">
      <c r="A61" s="429" t="s">
        <v>88</v>
      </c>
      <c r="B61" s="362"/>
      <c r="C61" s="430"/>
      <c r="D61" s="363"/>
      <c r="E61" s="430"/>
      <c r="F61" s="363"/>
      <c r="G61" s="431"/>
      <c r="H61" s="758"/>
      <c r="I61" s="402"/>
    </row>
    <row r="62" spans="1:9" x14ac:dyDescent="0.25">
      <c r="A62" s="403" t="s">
        <v>92</v>
      </c>
      <c r="B62" s="365"/>
      <c r="C62" s="404"/>
      <c r="D62" s="366"/>
      <c r="E62" s="366"/>
      <c r="F62" s="623"/>
      <c r="G62" s="405"/>
      <c r="H62" s="385"/>
      <c r="I62" s="402"/>
    </row>
    <row r="63" spans="1:9" x14ac:dyDescent="0.25">
      <c r="A63" s="373" t="s">
        <v>95</v>
      </c>
      <c r="B63" s="352" t="s">
        <v>96</v>
      </c>
      <c r="C63" s="369"/>
      <c r="D63" s="369"/>
      <c r="E63" s="369">
        <f>F63-D63</f>
        <v>280000</v>
      </c>
      <c r="F63" s="622">
        <v>280000</v>
      </c>
      <c r="G63" s="408">
        <v>280000</v>
      </c>
      <c r="H63" s="758"/>
      <c r="I63" s="402"/>
    </row>
    <row r="64" spans="1:9" ht="30" customHeight="1" x14ac:dyDescent="0.25">
      <c r="A64" s="373" t="s">
        <v>97</v>
      </c>
      <c r="B64" s="352" t="s">
        <v>98</v>
      </c>
      <c r="C64" s="369">
        <v>157680</v>
      </c>
      <c r="D64" s="369"/>
      <c r="E64" s="369">
        <f>F64-D64</f>
        <v>290000</v>
      </c>
      <c r="F64" s="622">
        <v>290000</v>
      </c>
      <c r="G64" s="408">
        <v>290000</v>
      </c>
      <c r="H64" s="758"/>
      <c r="I64" s="402"/>
    </row>
    <row r="65" spans="1:9" x14ac:dyDescent="0.25">
      <c r="A65" s="403" t="s">
        <v>101</v>
      </c>
      <c r="B65" s="365"/>
      <c r="C65" s="366"/>
      <c r="D65" s="366"/>
      <c r="E65" s="369"/>
      <c r="F65" s="623"/>
      <c r="G65" s="405"/>
      <c r="H65" s="758"/>
      <c r="I65" s="402"/>
    </row>
    <row r="66" spans="1:9" x14ac:dyDescent="0.25">
      <c r="A66" s="373" t="s">
        <v>102</v>
      </c>
      <c r="B66" s="352" t="s">
        <v>103</v>
      </c>
      <c r="C66" s="369"/>
      <c r="D66" s="369"/>
      <c r="E66" s="369">
        <f t="shared" ref="E66:E70" si="7">F66-D66</f>
        <v>0</v>
      </c>
      <c r="F66" s="622"/>
      <c r="G66" s="408">
        <v>160000</v>
      </c>
      <c r="H66" s="758"/>
      <c r="I66" s="402"/>
    </row>
    <row r="67" spans="1:9" x14ac:dyDescent="0.25">
      <c r="A67" s="434" t="s">
        <v>754</v>
      </c>
      <c r="B67" s="352"/>
      <c r="C67" s="369"/>
      <c r="D67" s="369"/>
      <c r="E67" s="369"/>
      <c r="F67" s="622"/>
      <c r="G67" s="408">
        <v>2000000</v>
      </c>
      <c r="H67" s="758"/>
      <c r="I67" s="402"/>
    </row>
    <row r="68" spans="1:9" x14ac:dyDescent="0.25">
      <c r="A68" s="434" t="s">
        <v>788</v>
      </c>
      <c r="B68" s="352"/>
      <c r="C68" s="369"/>
      <c r="D68" s="369"/>
      <c r="E68" s="369"/>
      <c r="F68" s="622">
        <v>160000</v>
      </c>
      <c r="G68" s="408"/>
      <c r="H68" s="758"/>
      <c r="I68" s="402"/>
    </row>
    <row r="69" spans="1:9" x14ac:dyDescent="0.25">
      <c r="A69" s="434" t="s">
        <v>789</v>
      </c>
      <c r="B69" s="352"/>
      <c r="C69" s="369"/>
      <c r="D69" s="369"/>
      <c r="E69" s="369"/>
      <c r="F69" s="622">
        <v>2000000</v>
      </c>
      <c r="G69" s="408"/>
      <c r="H69" s="758"/>
      <c r="I69" s="402"/>
    </row>
    <row r="70" spans="1:9" x14ac:dyDescent="0.25">
      <c r="A70" s="434" t="s">
        <v>705</v>
      </c>
      <c r="B70" s="352"/>
      <c r="C70" s="369"/>
      <c r="D70" s="369"/>
      <c r="E70" s="369">
        <f t="shared" si="7"/>
        <v>0</v>
      </c>
      <c r="F70" s="622"/>
      <c r="G70" s="408"/>
      <c r="H70" s="758"/>
      <c r="I70" s="402"/>
    </row>
    <row r="71" spans="1:9" x14ac:dyDescent="0.25">
      <c r="A71" s="403" t="s">
        <v>104</v>
      </c>
      <c r="B71" s="365"/>
      <c r="C71" s="369"/>
      <c r="D71" s="369"/>
      <c r="E71" s="369"/>
      <c r="F71" s="622"/>
      <c r="G71" s="408"/>
      <c r="H71" s="758"/>
      <c r="I71" s="402"/>
    </row>
    <row r="72" spans="1:9" x14ac:dyDescent="0.25">
      <c r="A72" s="472" t="s">
        <v>105</v>
      </c>
      <c r="B72" s="442" t="s">
        <v>106</v>
      </c>
      <c r="C72" s="444">
        <v>93300</v>
      </c>
      <c r="D72" s="444"/>
      <c r="E72" s="535">
        <f>F72-D72</f>
        <v>200000</v>
      </c>
      <c r="F72" s="624">
        <v>200000</v>
      </c>
      <c r="G72" s="387">
        <v>200000</v>
      </c>
      <c r="H72" s="758"/>
      <c r="I72" s="402"/>
    </row>
    <row r="73" spans="1:9" s="44" customFormat="1" x14ac:dyDescent="0.25">
      <c r="A73" s="396" t="s">
        <v>112</v>
      </c>
      <c r="B73" s="436"/>
      <c r="C73" s="398">
        <f>SUM(C61:C72)</f>
        <v>250980</v>
      </c>
      <c r="D73" s="398">
        <f>SUM(D61:D72)</f>
        <v>0</v>
      </c>
      <c r="E73" s="398">
        <f>SUM(E61:E72)</f>
        <v>770000</v>
      </c>
      <c r="F73" s="398">
        <f>SUM(F61:F72)</f>
        <v>2930000</v>
      </c>
      <c r="G73" s="398">
        <f>SUM(G61:G72)</f>
        <v>2930000</v>
      </c>
      <c r="H73" s="766">
        <f>CVMO_MOOE+CVMO_CO</f>
        <v>17470000</v>
      </c>
      <c r="I73" s="400"/>
    </row>
    <row r="74" spans="1:9" s="53" customFormat="1" x14ac:dyDescent="0.25">
      <c r="A74" s="419" t="s">
        <v>113</v>
      </c>
      <c r="B74" s="437"/>
      <c r="C74" s="421">
        <f>C36+C60+C73</f>
        <v>16331087.92</v>
      </c>
      <c r="D74" s="421">
        <f>D36+D60+D73</f>
        <v>9284797.9299999997</v>
      </c>
      <c r="E74" s="421">
        <f>E36+E60+E73</f>
        <v>13671560.894000001</v>
      </c>
      <c r="F74" s="421">
        <f>F36+F60+F73</f>
        <v>25116358.823999997</v>
      </c>
      <c r="G74" s="421">
        <f>G36+G60+G73</f>
        <v>25657051.976</v>
      </c>
      <c r="H74" s="767"/>
      <c r="I74" s="1052"/>
    </row>
    <row r="75" spans="1:9" x14ac:dyDescent="0.25">
      <c r="A75" s="16"/>
      <c r="B75" s="16"/>
      <c r="C75" s="16"/>
      <c r="D75" s="16"/>
      <c r="E75" s="16"/>
      <c r="F75" s="626"/>
      <c r="G75" s="564"/>
      <c r="H75" s="568"/>
      <c r="I75" s="402"/>
    </row>
    <row r="76" spans="1:9" x14ac:dyDescent="0.25">
      <c r="A76" s="16"/>
      <c r="B76" s="16"/>
      <c r="C76" s="16"/>
      <c r="D76" s="16"/>
      <c r="E76" s="16"/>
      <c r="F76" s="16"/>
      <c r="G76" s="16"/>
      <c r="H76" s="573"/>
      <c r="I76" s="402"/>
    </row>
    <row r="77" spans="1:9" x14ac:dyDescent="0.25">
      <c r="A77" s="16"/>
      <c r="B77" s="16"/>
      <c r="C77" s="16"/>
      <c r="D77" s="16"/>
      <c r="E77" s="16"/>
      <c r="F77" s="16"/>
      <c r="G77" s="16"/>
      <c r="H77" s="568"/>
      <c r="I77" s="402"/>
    </row>
    <row r="78" spans="1:9" x14ac:dyDescent="0.25">
      <c r="A78" s="16"/>
      <c r="B78" s="16"/>
      <c r="C78" s="16"/>
      <c r="D78" s="16"/>
      <c r="E78" s="16"/>
      <c r="F78" s="16"/>
      <c r="G78" s="16"/>
      <c r="H78" s="568"/>
      <c r="I78" s="402"/>
    </row>
    <row r="79" spans="1:9" x14ac:dyDescent="0.25">
      <c r="A79" s="16"/>
      <c r="B79" s="16"/>
      <c r="C79" s="16"/>
      <c r="D79" s="16"/>
      <c r="E79" s="16"/>
      <c r="F79" s="16"/>
      <c r="G79" s="16"/>
      <c r="H79" s="568"/>
      <c r="I79" s="402"/>
    </row>
    <row r="80" spans="1:9" x14ac:dyDescent="0.25">
      <c r="A80" s="16"/>
      <c r="B80" s="16"/>
      <c r="C80" s="16"/>
      <c r="D80" s="16"/>
      <c r="E80" s="16"/>
      <c r="F80" s="16"/>
      <c r="G80" s="16"/>
      <c r="H80" s="568"/>
      <c r="I80" s="402"/>
    </row>
    <row r="81" spans="1:9" x14ac:dyDescent="0.25">
      <c r="A81" s="16"/>
      <c r="B81" s="16"/>
      <c r="C81" s="16"/>
      <c r="D81" s="16"/>
      <c r="E81" s="16"/>
      <c r="F81" s="16"/>
      <c r="G81" s="16"/>
      <c r="H81" s="568"/>
      <c r="I81" s="402"/>
    </row>
    <row r="82" spans="1:9" x14ac:dyDescent="0.25">
      <c r="A82" s="16"/>
      <c r="B82" s="16"/>
      <c r="C82" s="16"/>
      <c r="D82" s="16"/>
      <c r="E82" s="16"/>
      <c r="F82" s="16"/>
      <c r="G82" s="16"/>
      <c r="H82" s="568"/>
      <c r="I82" s="402"/>
    </row>
    <row r="83" spans="1:9" x14ac:dyDescent="0.25">
      <c r="A83" s="16"/>
      <c r="B83" s="16"/>
      <c r="C83" s="16"/>
      <c r="D83" s="16"/>
      <c r="E83" s="16"/>
      <c r="F83" s="16"/>
      <c r="G83" s="16"/>
      <c r="H83" s="568"/>
      <c r="I83" s="402"/>
    </row>
    <row r="84" spans="1:9" x14ac:dyDescent="0.25">
      <c r="A84" s="16"/>
      <c r="B84" s="16"/>
      <c r="C84" s="16"/>
      <c r="D84" s="16"/>
      <c r="E84" s="16"/>
      <c r="F84" s="16"/>
      <c r="G84" s="16"/>
      <c r="H84" s="568"/>
      <c r="I84" s="402"/>
    </row>
    <row r="85" spans="1:9" x14ac:dyDescent="0.25">
      <c r="A85" s="16"/>
      <c r="B85" s="16"/>
      <c r="C85" s="16"/>
      <c r="D85" s="16"/>
      <c r="E85" s="16"/>
      <c r="F85" s="16"/>
      <c r="G85" s="16"/>
      <c r="H85" s="568"/>
      <c r="I85" s="402"/>
    </row>
    <row r="86" spans="1:9" x14ac:dyDescent="0.25">
      <c r="A86" s="16"/>
      <c r="B86" s="16"/>
      <c r="C86" s="16"/>
      <c r="D86" s="16"/>
      <c r="E86" s="16"/>
      <c r="F86" s="16"/>
      <c r="G86" s="16"/>
      <c r="H86" s="568"/>
      <c r="I86" s="402"/>
    </row>
    <row r="87" spans="1:9" x14ac:dyDescent="0.25">
      <c r="A87" s="16"/>
      <c r="B87" s="16"/>
      <c r="C87" s="16"/>
      <c r="D87" s="16"/>
      <c r="E87" s="16"/>
      <c r="F87" s="16"/>
      <c r="G87" s="16"/>
      <c r="H87" s="568"/>
      <c r="I87" s="402"/>
    </row>
    <row r="88" spans="1:9" x14ac:dyDescent="0.25">
      <c r="A88" s="16"/>
      <c r="B88" s="16"/>
      <c r="C88" s="16"/>
      <c r="D88" s="16"/>
      <c r="E88" s="16"/>
      <c r="F88" s="16"/>
      <c r="G88" s="16"/>
      <c r="H88" s="568"/>
      <c r="I88" s="402"/>
    </row>
    <row r="89" spans="1:9" x14ac:dyDescent="0.25">
      <c r="A89" s="16"/>
      <c r="B89" s="16"/>
      <c r="C89" s="16"/>
      <c r="D89" s="16"/>
      <c r="E89" s="16"/>
      <c r="F89" s="16"/>
      <c r="G89" s="16"/>
      <c r="H89" s="568"/>
      <c r="I89" s="402"/>
    </row>
    <row r="90" spans="1:9" x14ac:dyDescent="0.25">
      <c r="A90" s="16"/>
      <c r="B90" s="16"/>
      <c r="C90" s="16"/>
      <c r="D90" s="16"/>
      <c r="E90" s="16"/>
      <c r="F90" s="16"/>
      <c r="G90" s="16"/>
      <c r="H90" s="568"/>
      <c r="I90" s="402"/>
    </row>
    <row r="91" spans="1:9" x14ac:dyDescent="0.25">
      <c r="A91" s="16"/>
      <c r="B91" s="16"/>
      <c r="C91" s="16"/>
      <c r="D91" s="16"/>
      <c r="E91" s="16"/>
      <c r="F91" s="16"/>
      <c r="G91" s="16"/>
      <c r="H91" s="568"/>
      <c r="I91" s="402"/>
    </row>
    <row r="92" spans="1:9" x14ac:dyDescent="0.25">
      <c r="A92" s="16"/>
      <c r="B92" s="16"/>
      <c r="C92" s="16"/>
      <c r="D92" s="16"/>
      <c r="E92" s="16"/>
      <c r="F92" s="16"/>
      <c r="G92" s="16"/>
      <c r="H92" s="568"/>
      <c r="I92" s="402"/>
    </row>
    <row r="93" spans="1:9" ht="38.25" customHeight="1" x14ac:dyDescent="0.25">
      <c r="A93" s="16"/>
      <c r="B93" s="16"/>
      <c r="C93" s="16"/>
      <c r="D93" s="16"/>
      <c r="E93" s="16"/>
      <c r="F93" s="16"/>
      <c r="G93" s="16"/>
      <c r="H93" s="568"/>
      <c r="I93" s="402"/>
    </row>
    <row r="94" spans="1:9" x14ac:dyDescent="0.25">
      <c r="A94" s="16"/>
      <c r="B94" s="16"/>
      <c r="C94" s="16"/>
      <c r="D94" s="16"/>
      <c r="E94" s="16"/>
      <c r="F94" s="16"/>
      <c r="G94" s="16"/>
      <c r="H94" s="568"/>
      <c r="I94" s="402"/>
    </row>
    <row r="95" spans="1:9" x14ac:dyDescent="0.25">
      <c r="A95" s="16"/>
      <c r="B95" s="16"/>
      <c r="C95" s="16"/>
      <c r="D95" s="16"/>
      <c r="E95" s="16"/>
      <c r="F95" s="16"/>
      <c r="G95" s="16"/>
      <c r="H95" s="568"/>
      <c r="I95" s="402"/>
    </row>
    <row r="96" spans="1:9" x14ac:dyDescent="0.25">
      <c r="A96" s="16"/>
      <c r="B96" s="16"/>
      <c r="C96" s="16"/>
      <c r="D96" s="16"/>
      <c r="E96" s="16"/>
      <c r="F96" s="16"/>
      <c r="G96" s="16"/>
      <c r="H96" s="568"/>
      <c r="I96" s="402"/>
    </row>
    <row r="97" spans="1:9" x14ac:dyDescent="0.25">
      <c r="A97" s="16"/>
      <c r="B97" s="16"/>
      <c r="C97" s="16"/>
      <c r="D97" s="16"/>
      <c r="E97" s="16"/>
      <c r="F97" s="16"/>
      <c r="G97" s="16"/>
      <c r="H97" s="568"/>
      <c r="I97" s="402"/>
    </row>
    <row r="98" spans="1:9" x14ac:dyDescent="0.25">
      <c r="A98" s="16"/>
      <c r="B98" s="353"/>
      <c r="C98" s="16"/>
      <c r="D98" s="16"/>
      <c r="E98" s="16"/>
      <c r="F98" s="16"/>
      <c r="G98" s="16"/>
      <c r="H98" s="568"/>
      <c r="I98" s="402"/>
    </row>
    <row r="99" spans="1:9" x14ac:dyDescent="0.25">
      <c r="A99" s="16"/>
      <c r="B99" s="16"/>
      <c r="C99" s="16"/>
      <c r="D99" s="16"/>
      <c r="E99" s="16"/>
      <c r="F99" s="16"/>
      <c r="G99" s="16"/>
      <c r="H99" s="568"/>
      <c r="I99" s="402"/>
    </row>
    <row r="100" spans="1:9" x14ac:dyDescent="0.25">
      <c r="A100" s="16"/>
      <c r="B100" s="16"/>
      <c r="C100" s="16"/>
      <c r="D100" s="16"/>
      <c r="E100" s="16"/>
      <c r="F100" s="16"/>
      <c r="G100" s="16"/>
      <c r="H100" s="568"/>
      <c r="I100" s="402"/>
    </row>
    <row r="101" spans="1:9" x14ac:dyDescent="0.25">
      <c r="A101" s="16"/>
      <c r="B101" s="16"/>
      <c r="C101" s="16"/>
      <c r="D101" s="16"/>
      <c r="E101" s="16"/>
      <c r="F101" s="16"/>
      <c r="G101" s="16"/>
      <c r="H101" s="568"/>
      <c r="I101"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8" fitToHeight="0" orientation="portrait" horizontalDpi="360" verticalDpi="360" r:id="rId1"/>
  <headerFooter scaleWithDoc="0">
    <oddFooter>&amp;C&amp;"Candara,Regular"&amp;10Page &amp;"Candara,Bold"&amp;P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fitToPage="1"/>
  </sheetPr>
  <dimension ref="A1:K98"/>
  <sheetViews>
    <sheetView view="pageBreakPreview" topLeftCell="A4" zoomScaleNormal="115" zoomScaleSheetLayoutView="100" workbookViewId="0">
      <pane xSplit="2" ySplit="5" topLeftCell="C57"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5.140625" style="279" bestFit="1" customWidth="1"/>
    <col min="9" max="9" width="14.5703125" style="49" customWidth="1"/>
    <col min="10" max="10" width="12.85546875" style="41" bestFit="1" customWidth="1"/>
    <col min="11"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104" t="s">
        <v>123</v>
      </c>
      <c r="B4" s="1105"/>
      <c r="C4" s="1105"/>
      <c r="D4" s="1105"/>
      <c r="E4" s="1105"/>
      <c r="F4" s="1105"/>
      <c r="G4" s="1105"/>
    </row>
    <row r="6" spans="1:9" s="43" customFormat="1" ht="12" x14ac:dyDescent="0.2">
      <c r="A6" s="1099" t="s">
        <v>1</v>
      </c>
      <c r="B6" s="1099" t="s">
        <v>2</v>
      </c>
      <c r="C6" s="1099" t="s">
        <v>310</v>
      </c>
      <c r="D6" s="1100" t="s">
        <v>307</v>
      </c>
      <c r="E6" s="1100"/>
      <c r="F6" s="1100"/>
      <c r="G6" s="1099" t="s">
        <v>311</v>
      </c>
      <c r="H6" s="357"/>
      <c r="I6" s="1046"/>
    </row>
    <row r="7" spans="1:9" s="43" customFormat="1" ht="12" x14ac:dyDescent="0.2">
      <c r="A7" s="1099"/>
      <c r="B7" s="1099"/>
      <c r="C7" s="1099"/>
      <c r="D7" s="1100"/>
      <c r="E7" s="1100"/>
      <c r="F7" s="1100"/>
      <c r="G7" s="1099"/>
      <c r="H7" s="357"/>
      <c r="I7" s="1046"/>
    </row>
    <row r="8" spans="1:9" s="43" customFormat="1" ht="24" x14ac:dyDescent="0.2">
      <c r="A8" s="1099"/>
      <c r="B8" s="1099"/>
      <c r="C8" s="1099"/>
      <c r="D8" s="359" t="s">
        <v>308</v>
      </c>
      <c r="E8" s="359" t="s">
        <v>309</v>
      </c>
      <c r="F8" s="359" t="s">
        <v>3</v>
      </c>
      <c r="G8" s="1099"/>
      <c r="H8" s="357"/>
      <c r="I8" s="1046"/>
    </row>
    <row r="9" spans="1:9" s="70" customFormat="1" ht="11.25" x14ac:dyDescent="0.25">
      <c r="A9" s="360">
        <v>1</v>
      </c>
      <c r="B9" s="360">
        <v>2</v>
      </c>
      <c r="C9" s="360">
        <v>3</v>
      </c>
      <c r="D9" s="360">
        <v>4</v>
      </c>
      <c r="E9" s="360">
        <v>5</v>
      </c>
      <c r="F9" s="360">
        <v>6</v>
      </c>
      <c r="G9" s="360">
        <v>7</v>
      </c>
      <c r="H9" s="567" t="s">
        <v>497</v>
      </c>
      <c r="I9" s="1047"/>
    </row>
    <row r="10" spans="1:9" ht="15" customHeight="1" x14ac:dyDescent="0.25">
      <c r="A10" s="429" t="s">
        <v>4</v>
      </c>
      <c r="B10" s="362"/>
      <c r="C10" s="430"/>
      <c r="D10" s="363"/>
      <c r="E10" s="430"/>
      <c r="F10" s="363"/>
      <c r="G10" s="431"/>
      <c r="H10" s="17">
        <v>28</v>
      </c>
    </row>
    <row r="11" spans="1:9" ht="15" customHeight="1" x14ac:dyDescent="0.25">
      <c r="A11" s="403" t="s">
        <v>5</v>
      </c>
      <c r="B11" s="365"/>
      <c r="C11" s="404"/>
      <c r="D11" s="366"/>
      <c r="E11" s="404"/>
      <c r="F11" s="366"/>
      <c r="G11" s="405"/>
      <c r="H11" s="367"/>
    </row>
    <row r="12" spans="1:9" ht="15" customHeight="1" x14ac:dyDescent="0.25">
      <c r="A12" s="373" t="str">
        <f>"Salaries and Wages - Regular (" &amp; H10 &amp; ")"</f>
        <v>Salaries and Wages - Regular (28)</v>
      </c>
      <c r="B12" s="352" t="s">
        <v>6</v>
      </c>
      <c r="C12" s="369">
        <v>18767009</v>
      </c>
      <c r="D12" s="369">
        <v>9674765.6199999992</v>
      </c>
      <c r="E12" s="406">
        <f>F12-D12</f>
        <v>11001555.98000001</v>
      </c>
      <c r="F12" s="369">
        <v>20676321.600000009</v>
      </c>
      <c r="G12" s="408">
        <f>H12+I12</f>
        <v>21366570.000000004</v>
      </c>
      <c r="H12" s="601">
        <v>21030570.000000004</v>
      </c>
      <c r="I12" s="49">
        <f>I15/2</f>
        <v>336000</v>
      </c>
    </row>
    <row r="13" spans="1:9" ht="30" customHeight="1" x14ac:dyDescent="0.25">
      <c r="A13" s="373" t="s">
        <v>460</v>
      </c>
      <c r="B13" s="352" t="s">
        <v>121</v>
      </c>
      <c r="C13" s="369">
        <v>6199981.7300000004</v>
      </c>
      <c r="D13" s="369">
        <v>2992676.47</v>
      </c>
      <c r="E13" s="406">
        <f>F13-D13</f>
        <v>5207323.5299999993</v>
      </c>
      <c r="F13" s="369">
        <v>8200000</v>
      </c>
      <c r="G13" s="408">
        <v>8300000</v>
      </c>
      <c r="H13" s="367"/>
    </row>
    <row r="14" spans="1:9" ht="15" customHeight="1" x14ac:dyDescent="0.25">
      <c r="A14" s="403" t="s">
        <v>7</v>
      </c>
      <c r="B14" s="365"/>
      <c r="C14" s="366"/>
      <c r="D14" s="366"/>
      <c r="E14" s="406"/>
      <c r="F14" s="366"/>
      <c r="G14" s="405"/>
      <c r="H14" s="367"/>
    </row>
    <row r="15" spans="1:9" ht="15" customHeight="1" x14ac:dyDescent="0.25">
      <c r="A15" s="373" t="s">
        <v>8</v>
      </c>
      <c r="B15" s="352" t="s">
        <v>9</v>
      </c>
      <c r="C15" s="369">
        <v>669000</v>
      </c>
      <c r="D15" s="369">
        <v>335272.73</v>
      </c>
      <c r="E15" s="406">
        <f t="shared" ref="E15:E25" si="0">F15-D15</f>
        <v>336727.27</v>
      </c>
      <c r="F15" s="369">
        <v>672000</v>
      </c>
      <c r="G15" s="408">
        <f>param_pera*SP_PLATILLA_ITEMS*12</f>
        <v>672000</v>
      </c>
      <c r="H15" s="618"/>
      <c r="I15" s="49">
        <v>672000</v>
      </c>
    </row>
    <row r="16" spans="1:9" ht="15" customHeight="1" x14ac:dyDescent="0.25">
      <c r="A16" s="373" t="s">
        <v>11</v>
      </c>
      <c r="B16" s="352" t="s">
        <v>12</v>
      </c>
      <c r="C16" s="369">
        <v>1127250</v>
      </c>
      <c r="D16" s="369">
        <v>581000</v>
      </c>
      <c r="E16" s="406">
        <f t="shared" si="0"/>
        <v>553000</v>
      </c>
      <c r="F16" s="369">
        <v>1134000</v>
      </c>
      <c r="G16" s="369">
        <f>H16*12</f>
        <v>1134000</v>
      </c>
      <c r="H16" s="618">
        <v>94500</v>
      </c>
    </row>
    <row r="17" spans="1:11" ht="15" customHeight="1" x14ac:dyDescent="0.25">
      <c r="A17" s="373" t="s">
        <v>13</v>
      </c>
      <c r="B17" s="352" t="s">
        <v>14</v>
      </c>
      <c r="C17" s="369">
        <v>1127250</v>
      </c>
      <c r="D17" s="369">
        <v>581000</v>
      </c>
      <c r="E17" s="406">
        <f t="shared" si="0"/>
        <v>553000</v>
      </c>
      <c r="F17" s="369">
        <v>1134000</v>
      </c>
      <c r="G17" s="369">
        <f>H17*12</f>
        <v>1134000</v>
      </c>
      <c r="H17" s="618">
        <v>94500</v>
      </c>
    </row>
    <row r="18" spans="1:11" ht="15" customHeight="1" x14ac:dyDescent="0.25">
      <c r="A18" s="373" t="s">
        <v>15</v>
      </c>
      <c r="B18" s="352" t="s">
        <v>16</v>
      </c>
      <c r="C18" s="369">
        <v>168000</v>
      </c>
      <c r="D18" s="369">
        <v>162000</v>
      </c>
      <c r="E18" s="406">
        <f t="shared" si="0"/>
        <v>6000</v>
      </c>
      <c r="F18" s="369">
        <v>168000</v>
      </c>
      <c r="G18" s="408">
        <f>param_uniform*SP_PLATILLA_ITEMS</f>
        <v>168000</v>
      </c>
      <c r="H18" s="618"/>
    </row>
    <row r="19" spans="1:11" ht="15" customHeight="1" x14ac:dyDescent="0.25">
      <c r="A19" s="373" t="s">
        <v>17</v>
      </c>
      <c r="B19" s="352" t="s">
        <v>18</v>
      </c>
      <c r="C19" s="369">
        <v>1634180.4</v>
      </c>
      <c r="D19" s="369"/>
      <c r="E19" s="406">
        <f t="shared" si="0"/>
        <v>1723026.8000000007</v>
      </c>
      <c r="F19" s="369">
        <v>1723026.8000000007</v>
      </c>
      <c r="G19" s="408">
        <f>H12/12+I19</f>
        <v>1920547.5000000002</v>
      </c>
      <c r="H19" s="618"/>
      <c r="I19" s="49">
        <f>I15/4</f>
        <v>168000</v>
      </c>
    </row>
    <row r="20" spans="1:11" ht="15" customHeight="1" x14ac:dyDescent="0.25">
      <c r="A20" s="373" t="s">
        <v>19</v>
      </c>
      <c r="B20" s="352" t="s">
        <v>20</v>
      </c>
      <c r="C20" s="369">
        <v>146000</v>
      </c>
      <c r="D20" s="369"/>
      <c r="E20" s="406">
        <f t="shared" si="0"/>
        <v>140000</v>
      </c>
      <c r="F20" s="369">
        <v>140000</v>
      </c>
      <c r="G20" s="408">
        <f>param_cash_gift*SP_PLATILLA_ITEMS</f>
        <v>140000</v>
      </c>
      <c r="H20" s="618"/>
      <c r="K20" s="41" t="s">
        <v>610</v>
      </c>
    </row>
    <row r="21" spans="1:11" ht="15" customHeight="1" x14ac:dyDescent="0.25">
      <c r="A21" s="403" t="s">
        <v>21</v>
      </c>
      <c r="B21" s="365"/>
      <c r="C21" s="366"/>
      <c r="D21" s="366"/>
      <c r="E21" s="406"/>
      <c r="F21" s="366"/>
      <c r="G21" s="405"/>
      <c r="H21" s="618"/>
    </row>
    <row r="22" spans="1:11" ht="15" customHeight="1" x14ac:dyDescent="0.25">
      <c r="A22" s="373" t="s">
        <v>22</v>
      </c>
      <c r="B22" s="352" t="s">
        <v>23</v>
      </c>
      <c r="C22" s="369">
        <v>2099898.14</v>
      </c>
      <c r="D22" s="369">
        <v>1092601.8400000001</v>
      </c>
      <c r="E22" s="406">
        <f t="shared" si="0"/>
        <v>1388556.752000001</v>
      </c>
      <c r="F22" s="369">
        <v>2481158.5920000011</v>
      </c>
      <c r="G22" s="408">
        <f>H12*12%</f>
        <v>2523668.4000000004</v>
      </c>
      <c r="H22" s="618"/>
    </row>
    <row r="23" spans="1:11" ht="15" customHeight="1" x14ac:dyDescent="0.25">
      <c r="A23" s="373" t="s">
        <v>24</v>
      </c>
      <c r="B23" s="352" t="s">
        <v>25</v>
      </c>
      <c r="C23" s="369">
        <v>32100</v>
      </c>
      <c r="D23" s="369">
        <v>16200</v>
      </c>
      <c r="E23" s="406">
        <f t="shared" si="0"/>
        <v>34200</v>
      </c>
      <c r="F23" s="369">
        <v>50400</v>
      </c>
      <c r="G23" s="408">
        <f>param_pagibig*SP_PLATILLA_ITEMS*12</f>
        <v>50400</v>
      </c>
      <c r="H23" s="618"/>
    </row>
    <row r="24" spans="1:11" ht="15" customHeight="1" x14ac:dyDescent="0.25">
      <c r="A24" s="373" t="s">
        <v>26</v>
      </c>
      <c r="B24" s="352" t="s">
        <v>27</v>
      </c>
      <c r="C24" s="369">
        <v>181042.54</v>
      </c>
      <c r="D24" s="369">
        <v>153280.67000000001</v>
      </c>
      <c r="E24" s="406">
        <f t="shared" si="0"/>
        <v>245719.33</v>
      </c>
      <c r="F24" s="369">
        <v>399000</v>
      </c>
      <c r="G24" s="408">
        <f>ROUND(H24+(H24*0.1), -1)</f>
        <v>389140</v>
      </c>
      <c r="H24" s="618">
        <v>353759.95199999993</v>
      </c>
    </row>
    <row r="25" spans="1:11" ht="15" customHeight="1" x14ac:dyDescent="0.25">
      <c r="A25" s="373" t="s">
        <v>28</v>
      </c>
      <c r="B25" s="352" t="s">
        <v>29</v>
      </c>
      <c r="C25" s="369">
        <v>32200</v>
      </c>
      <c r="D25" s="369">
        <v>16300</v>
      </c>
      <c r="E25" s="406">
        <f t="shared" si="0"/>
        <v>34100</v>
      </c>
      <c r="F25" s="369">
        <v>50400</v>
      </c>
      <c r="G25" s="408">
        <f>param_ecc*SP_PLATILLA_ITEMS*12</f>
        <v>50400</v>
      </c>
      <c r="H25" s="618"/>
    </row>
    <row r="26" spans="1:11" ht="15" customHeight="1" x14ac:dyDescent="0.25">
      <c r="A26" s="403" t="s">
        <v>30</v>
      </c>
      <c r="B26" s="365"/>
      <c r="C26" s="366"/>
      <c r="D26" s="366"/>
      <c r="E26" s="406"/>
      <c r="F26" s="366"/>
      <c r="G26" s="405"/>
      <c r="H26" s="618"/>
    </row>
    <row r="27" spans="1:11" ht="15" customHeight="1" x14ac:dyDescent="0.25">
      <c r="A27" s="373" t="s">
        <v>31</v>
      </c>
      <c r="B27" s="352" t="s">
        <v>32</v>
      </c>
      <c r="C27" s="369"/>
      <c r="D27" s="369"/>
      <c r="E27" s="406"/>
      <c r="F27" s="369"/>
      <c r="G27" s="408"/>
      <c r="H27" s="618"/>
    </row>
    <row r="28" spans="1:11" ht="15" customHeight="1" x14ac:dyDescent="0.25">
      <c r="A28" s="373" t="s">
        <v>30</v>
      </c>
      <c r="B28" s="352" t="s">
        <v>33</v>
      </c>
      <c r="C28" s="369"/>
      <c r="D28" s="369"/>
      <c r="E28" s="369"/>
      <c r="F28" s="369"/>
      <c r="G28" s="408"/>
      <c r="H28" s="693">
        <f>SUM(G28:G34)</f>
        <v>2200547.5</v>
      </c>
    </row>
    <row r="29" spans="1:11" ht="15" customHeight="1" x14ac:dyDescent="0.25">
      <c r="A29" s="434" t="s">
        <v>332</v>
      </c>
      <c r="B29" s="352"/>
      <c r="C29" s="369">
        <v>1565899</v>
      </c>
      <c r="D29" s="369">
        <v>1609864</v>
      </c>
      <c r="E29" s="406">
        <f t="shared" ref="E29:E31" si="1">F29-D29</f>
        <v>113162.80000000075</v>
      </c>
      <c r="F29" s="369">
        <v>1723026.8000000007</v>
      </c>
      <c r="G29" s="408">
        <f>H12/12+I29</f>
        <v>1920547.5000000002</v>
      </c>
      <c r="H29" s="618"/>
      <c r="I29" s="49">
        <f>I15/4</f>
        <v>168000</v>
      </c>
    </row>
    <row r="30" spans="1:11" ht="15" customHeight="1" x14ac:dyDescent="0.25">
      <c r="A30" s="434" t="s">
        <v>333</v>
      </c>
      <c r="B30" s="352"/>
      <c r="C30" s="369">
        <v>140000</v>
      </c>
      <c r="D30" s="369"/>
      <c r="E30" s="406">
        <f t="shared" si="1"/>
        <v>140000</v>
      </c>
      <c r="F30" s="369">
        <v>140000</v>
      </c>
      <c r="G30" s="408">
        <f>param_pei*SP_PLATILLA_ITEMS</f>
        <v>140000</v>
      </c>
      <c r="H30" s="618"/>
    </row>
    <row r="31" spans="1:11" ht="30" customHeight="1" x14ac:dyDescent="0.25">
      <c r="A31" s="434" t="s">
        <v>649</v>
      </c>
      <c r="B31" s="352"/>
      <c r="C31" s="369"/>
      <c r="D31" s="369"/>
      <c r="E31" s="406">
        <f t="shared" si="1"/>
        <v>140000</v>
      </c>
      <c r="F31" s="369">
        <v>140000</v>
      </c>
      <c r="G31" s="408">
        <f>param_pbb*SP_PLATILLA_ITEMS</f>
        <v>140000</v>
      </c>
      <c r="H31" s="618"/>
    </row>
    <row r="32" spans="1:11" ht="15" customHeight="1" x14ac:dyDescent="0.25">
      <c r="A32" s="376" t="s">
        <v>650</v>
      </c>
      <c r="B32" s="352"/>
      <c r="C32" s="369">
        <v>1400000</v>
      </c>
      <c r="D32" s="369"/>
      <c r="E32" s="369"/>
      <c r="F32" s="369"/>
      <c r="G32" s="369"/>
      <c r="H32" s="375"/>
    </row>
    <row r="33" spans="1:8" ht="15" customHeight="1" x14ac:dyDescent="0.25">
      <c r="A33" s="376" t="s">
        <v>652</v>
      </c>
      <c r="B33" s="352"/>
      <c r="C33" s="369"/>
      <c r="D33" s="369"/>
      <c r="E33" s="369"/>
      <c r="F33" s="369"/>
      <c r="G33" s="369"/>
      <c r="H33" s="375"/>
    </row>
    <row r="34" spans="1:8" ht="15" customHeight="1" x14ac:dyDescent="0.25">
      <c r="A34" s="378" t="s">
        <v>653</v>
      </c>
      <c r="B34" s="379"/>
      <c r="C34" s="380">
        <v>560000</v>
      </c>
      <c r="D34" s="380"/>
      <c r="E34" s="381"/>
      <c r="F34" s="380"/>
      <c r="G34" s="380"/>
      <c r="H34" s="375"/>
    </row>
    <row r="35" spans="1:8" ht="15" customHeight="1" x14ac:dyDescent="0.25">
      <c r="A35" s="396" t="s">
        <v>34</v>
      </c>
      <c r="B35" s="397"/>
      <c r="C35" s="398">
        <f>SUM(C11:C34)</f>
        <v>35849810.810000002</v>
      </c>
      <c r="D35" s="398">
        <f t="shared" ref="D35:F35" si="2">SUM(D11:D34)</f>
        <v>17214961.329999998</v>
      </c>
      <c r="E35" s="398">
        <f t="shared" si="2"/>
        <v>21616372.462000009</v>
      </c>
      <c r="F35" s="398">
        <f t="shared" si="2"/>
        <v>38831333.792000011</v>
      </c>
      <c r="G35" s="398">
        <f>SUM(G11:G34)</f>
        <v>40049273.400000006</v>
      </c>
      <c r="H35" s="619"/>
    </row>
    <row r="36" spans="1:8" ht="15" customHeight="1" x14ac:dyDescent="0.25">
      <c r="A36" s="429" t="s">
        <v>35</v>
      </c>
      <c r="B36" s="362"/>
      <c r="C36" s="430"/>
      <c r="D36" s="363"/>
      <c r="E36" s="430"/>
      <c r="F36" s="363"/>
      <c r="G36" s="431"/>
      <c r="H36" s="367"/>
    </row>
    <row r="37" spans="1:8" ht="15" customHeight="1" x14ac:dyDescent="0.25">
      <c r="A37" s="403" t="s">
        <v>44</v>
      </c>
      <c r="B37" s="365"/>
      <c r="C37" s="404"/>
      <c r="D37" s="366"/>
      <c r="E37" s="406"/>
      <c r="F37" s="366"/>
      <c r="G37" s="405"/>
      <c r="H37" s="367"/>
    </row>
    <row r="38" spans="1:8" ht="15" customHeight="1" x14ac:dyDescent="0.25">
      <c r="A38" s="373" t="s">
        <v>45</v>
      </c>
      <c r="B38" s="352" t="s">
        <v>46</v>
      </c>
      <c r="C38" s="406"/>
      <c r="D38" s="369">
        <v>56300</v>
      </c>
      <c r="E38" s="406">
        <f t="shared" ref="E38" si="3">F38-D38</f>
        <v>450029.86</v>
      </c>
      <c r="F38" s="369">
        <v>506329.86</v>
      </c>
      <c r="G38" s="408">
        <v>1830000</v>
      </c>
      <c r="H38" s="367"/>
    </row>
    <row r="39" spans="1:8" ht="15" customHeight="1" x14ac:dyDescent="0.25">
      <c r="A39" s="403" t="s">
        <v>47</v>
      </c>
      <c r="B39" s="365"/>
      <c r="C39" s="404"/>
      <c r="D39" s="366"/>
      <c r="E39" s="406"/>
      <c r="F39" s="366"/>
      <c r="G39" s="405"/>
      <c r="H39" s="367"/>
    </row>
    <row r="40" spans="1:8" ht="15" customHeight="1" x14ac:dyDescent="0.25">
      <c r="A40" s="373" t="s">
        <v>48</v>
      </c>
      <c r="B40" s="352" t="s">
        <v>49</v>
      </c>
      <c r="C40" s="406">
        <v>8400</v>
      </c>
      <c r="D40" s="369">
        <v>45000</v>
      </c>
      <c r="E40" s="406">
        <f t="shared" ref="E40" si="4">F40-D40</f>
        <v>410000</v>
      </c>
      <c r="F40" s="369">
        <v>455000</v>
      </c>
      <c r="G40" s="408">
        <v>1510000</v>
      </c>
      <c r="H40" s="367"/>
    </row>
    <row r="41" spans="1:8" ht="15" customHeight="1" x14ac:dyDescent="0.25">
      <c r="A41" s="403" t="s">
        <v>50</v>
      </c>
      <c r="B41" s="365"/>
      <c r="C41" s="404"/>
      <c r="D41" s="366"/>
      <c r="E41" s="406"/>
      <c r="F41" s="366"/>
      <c r="G41" s="405"/>
      <c r="H41" s="367"/>
    </row>
    <row r="42" spans="1:8" ht="15" customHeight="1" x14ac:dyDescent="0.25">
      <c r="A42" s="373" t="s">
        <v>51</v>
      </c>
      <c r="B42" s="352" t="s">
        <v>52</v>
      </c>
      <c r="C42" s="406">
        <v>1689277.5</v>
      </c>
      <c r="D42" s="369">
        <v>751062.75</v>
      </c>
      <c r="E42" s="406">
        <f t="shared" ref="E42:E43" si="5">F42-D42</f>
        <v>2818937.25</v>
      </c>
      <c r="F42" s="369">
        <v>3570000</v>
      </c>
      <c r="G42" s="408">
        <v>7056548.2800000003</v>
      </c>
      <c r="H42" s="367"/>
    </row>
    <row r="43" spans="1:8" ht="15" customHeight="1" x14ac:dyDescent="0.25">
      <c r="A43" s="373" t="s">
        <v>53</v>
      </c>
      <c r="B43" s="352" t="s">
        <v>54</v>
      </c>
      <c r="C43" s="406">
        <v>384121.23</v>
      </c>
      <c r="D43" s="369">
        <v>214306.93</v>
      </c>
      <c r="E43" s="406">
        <f t="shared" si="5"/>
        <v>540693.07000000007</v>
      </c>
      <c r="F43" s="369">
        <v>755000</v>
      </c>
      <c r="G43" s="408">
        <v>2147692.0699999998</v>
      </c>
      <c r="H43" s="367"/>
    </row>
    <row r="44" spans="1:8" ht="15" customHeight="1" x14ac:dyDescent="0.25">
      <c r="A44" s="403" t="s">
        <v>55</v>
      </c>
      <c r="B44" s="365"/>
      <c r="C44" s="404"/>
      <c r="D44" s="366"/>
      <c r="E44" s="406"/>
      <c r="F44" s="366"/>
      <c r="G44" s="405"/>
      <c r="H44" s="367"/>
    </row>
    <row r="45" spans="1:8" ht="15" customHeight="1" x14ac:dyDescent="0.25">
      <c r="A45" s="373" t="s">
        <v>56</v>
      </c>
      <c r="B45" s="352" t="s">
        <v>57</v>
      </c>
      <c r="C45" s="406"/>
      <c r="D45" s="369">
        <v>2190</v>
      </c>
      <c r="E45" s="406">
        <f t="shared" ref="E45" si="6">F45-D45</f>
        <v>143810</v>
      </c>
      <c r="F45" s="369">
        <v>146000</v>
      </c>
      <c r="G45" s="408">
        <v>326000</v>
      </c>
      <c r="H45" s="367"/>
    </row>
    <row r="46" spans="1:8" ht="15" customHeight="1" x14ac:dyDescent="0.25">
      <c r="A46" s="403" t="s">
        <v>58</v>
      </c>
      <c r="B46" s="365"/>
      <c r="C46" s="404"/>
      <c r="D46" s="366"/>
      <c r="E46" s="406"/>
      <c r="F46" s="366"/>
      <c r="G46" s="405"/>
      <c r="H46" s="367"/>
    </row>
    <row r="47" spans="1:8" ht="15" customHeight="1" x14ac:dyDescent="0.25">
      <c r="A47" s="373" t="s">
        <v>61</v>
      </c>
      <c r="B47" s="352" t="s">
        <v>62</v>
      </c>
      <c r="C47" s="406"/>
      <c r="D47" s="369">
        <v>11559.86</v>
      </c>
      <c r="E47" s="406">
        <f t="shared" ref="E47" si="7">F47-D47</f>
        <v>205440.14</v>
      </c>
      <c r="F47" s="369">
        <v>217000</v>
      </c>
      <c r="G47" s="408">
        <v>451000</v>
      </c>
      <c r="H47" s="367"/>
    </row>
    <row r="48" spans="1:8" x14ac:dyDescent="0.25">
      <c r="A48" s="368" t="s">
        <v>63</v>
      </c>
      <c r="B48" s="352" t="s">
        <v>64</v>
      </c>
      <c r="C48" s="369"/>
      <c r="D48" s="369"/>
      <c r="E48" s="369"/>
      <c r="F48" s="386"/>
      <c r="G48" s="386">
        <v>86128.07</v>
      </c>
      <c r="H48" s="364"/>
    </row>
    <row r="49" spans="1:10" ht="15" customHeight="1" x14ac:dyDescent="0.25">
      <c r="A49" s="403" t="s">
        <v>79</v>
      </c>
      <c r="B49" s="365"/>
      <c r="C49" s="404"/>
      <c r="D49" s="366"/>
      <c r="E49" s="406"/>
      <c r="F49" s="366"/>
      <c r="G49" s="405"/>
      <c r="H49" s="367"/>
    </row>
    <row r="50" spans="1:10" ht="15" customHeight="1" x14ac:dyDescent="0.25">
      <c r="A50" s="373" t="s">
        <v>80</v>
      </c>
      <c r="B50" s="352" t="s">
        <v>81</v>
      </c>
      <c r="C50" s="406">
        <v>30023400</v>
      </c>
      <c r="D50" s="369">
        <v>15174410</v>
      </c>
      <c r="E50" s="406">
        <f t="shared" ref="E50" si="8">F50-D50</f>
        <v>20000964.670000002</v>
      </c>
      <c r="F50" s="369">
        <v>35175374.670000002</v>
      </c>
      <c r="G50" s="408">
        <v>26700984.27</v>
      </c>
      <c r="H50" s="573">
        <v>29972609.5</v>
      </c>
      <c r="J50" s="282">
        <f>G50-H50</f>
        <v>-3271625.2300000004</v>
      </c>
    </row>
    <row r="51" spans="1:10" ht="15" customHeight="1" x14ac:dyDescent="0.25">
      <c r="A51" s="403" t="s">
        <v>82</v>
      </c>
      <c r="B51" s="365"/>
      <c r="C51" s="404"/>
      <c r="D51" s="366"/>
      <c r="E51" s="406"/>
      <c r="F51" s="366"/>
      <c r="G51" s="405"/>
      <c r="H51" s="367"/>
    </row>
    <row r="52" spans="1:10" ht="30" customHeight="1" x14ac:dyDescent="0.25">
      <c r="A52" s="373" t="s">
        <v>120</v>
      </c>
      <c r="B52" s="352" t="s">
        <v>119</v>
      </c>
      <c r="C52" s="406"/>
      <c r="D52" s="369"/>
      <c r="E52" s="406">
        <f t="shared" ref="E52:E53" si="9">F52-D52</f>
        <v>119584.93</v>
      </c>
      <c r="F52" s="369">
        <v>119584.93</v>
      </c>
      <c r="G52" s="408">
        <v>215000</v>
      </c>
      <c r="H52" s="367"/>
    </row>
    <row r="53" spans="1:10" ht="30" customHeight="1" x14ac:dyDescent="0.25">
      <c r="A53" s="472" t="s">
        <v>118</v>
      </c>
      <c r="B53" s="442" t="s">
        <v>117</v>
      </c>
      <c r="C53" s="443"/>
      <c r="D53" s="444"/>
      <c r="E53" s="443">
        <f t="shared" si="9"/>
        <v>100000</v>
      </c>
      <c r="F53" s="444">
        <v>100000</v>
      </c>
      <c r="G53" s="387">
        <v>205000</v>
      </c>
      <c r="H53" s="375"/>
    </row>
    <row r="54" spans="1:10" ht="15" customHeight="1" x14ac:dyDescent="0.25">
      <c r="A54" s="403" t="s">
        <v>42</v>
      </c>
      <c r="B54" s="365"/>
      <c r="C54" s="404"/>
      <c r="D54" s="366"/>
      <c r="E54" s="404"/>
      <c r="F54" s="366"/>
      <c r="G54" s="405"/>
      <c r="H54" s="367"/>
    </row>
    <row r="55" spans="1:10" ht="15" customHeight="1" x14ac:dyDescent="0.25">
      <c r="A55" s="373" t="s">
        <v>36</v>
      </c>
      <c r="B55" s="352" t="s">
        <v>178</v>
      </c>
      <c r="C55" s="406">
        <v>63000</v>
      </c>
      <c r="D55" s="369"/>
      <c r="E55" s="406">
        <f t="shared" ref="E55" si="10">F55-D55</f>
        <v>197000</v>
      </c>
      <c r="F55" s="369">
        <v>197000</v>
      </c>
      <c r="G55" s="408">
        <v>384000</v>
      </c>
      <c r="H55" s="367"/>
    </row>
    <row r="56" spans="1:10" ht="15" customHeight="1" x14ac:dyDescent="0.25">
      <c r="A56" s="373" t="s">
        <v>42</v>
      </c>
      <c r="B56" s="433" t="s">
        <v>176</v>
      </c>
      <c r="C56" s="406"/>
      <c r="D56" s="369"/>
      <c r="E56" s="406">
        <f t="shared" ref="E56" si="11">F56-D56</f>
        <v>732503.51</v>
      </c>
      <c r="F56" s="369">
        <v>732503.51</v>
      </c>
      <c r="G56" s="408">
        <v>1061440.28</v>
      </c>
      <c r="H56" s="367"/>
    </row>
    <row r="57" spans="1:10" ht="15" customHeight="1" x14ac:dyDescent="0.25">
      <c r="A57" s="620" t="s">
        <v>349</v>
      </c>
      <c r="B57" s="352"/>
      <c r="C57" s="406"/>
      <c r="D57" s="369"/>
      <c r="E57" s="406"/>
      <c r="F57" s="369"/>
      <c r="G57" s="408"/>
      <c r="H57" s="367"/>
    </row>
    <row r="58" spans="1:10" ht="30" customHeight="1" x14ac:dyDescent="0.25">
      <c r="A58" s="396" t="s">
        <v>86</v>
      </c>
      <c r="B58" s="397"/>
      <c r="C58" s="398">
        <f>SUM(C36:C57)</f>
        <v>32168198.73</v>
      </c>
      <c r="D58" s="398">
        <f>SUM(D36:D57)</f>
        <v>16254829.539999999</v>
      </c>
      <c r="E58" s="398">
        <f>SUM(E36:E57)</f>
        <v>25718963.430000003</v>
      </c>
      <c r="F58" s="398">
        <f>SUM(F36:F57)</f>
        <v>41973792.969999999</v>
      </c>
      <c r="G58" s="398">
        <f>SUM(G36:G57)</f>
        <v>41973792.969999999</v>
      </c>
      <c r="H58" s="693">
        <v>36371252.659999996</v>
      </c>
      <c r="J58" s="790">
        <f>SP_MOOE-H58</f>
        <v>5602540.3100000024</v>
      </c>
    </row>
    <row r="59" spans="1:10" x14ac:dyDescent="0.25">
      <c r="A59" s="429" t="s">
        <v>88</v>
      </c>
      <c r="B59" s="362"/>
      <c r="C59" s="430"/>
      <c r="D59" s="363"/>
      <c r="E59" s="430"/>
      <c r="F59" s="363"/>
      <c r="G59" s="431"/>
      <c r="H59" s="367"/>
    </row>
    <row r="60" spans="1:10" x14ac:dyDescent="0.25">
      <c r="A60" s="403" t="s">
        <v>92</v>
      </c>
      <c r="B60" s="365"/>
      <c r="C60" s="447"/>
      <c r="D60" s="448"/>
      <c r="E60" s="447"/>
      <c r="F60" s="448"/>
      <c r="G60" s="449"/>
      <c r="H60" s="367"/>
    </row>
    <row r="61" spans="1:10" x14ac:dyDescent="0.25">
      <c r="A61" s="373" t="s">
        <v>95</v>
      </c>
      <c r="B61" s="352" t="s">
        <v>96</v>
      </c>
      <c r="C61" s="406">
        <f>8000</f>
        <v>8000</v>
      </c>
      <c r="D61" s="448"/>
      <c r="E61" s="450"/>
      <c r="F61" s="451"/>
      <c r="G61" s="449"/>
      <c r="H61" s="367"/>
    </row>
    <row r="62" spans="1:10" ht="30" customHeight="1" x14ac:dyDescent="0.25">
      <c r="A62" s="373" t="s">
        <v>97</v>
      </c>
      <c r="B62" s="352" t="s">
        <v>98</v>
      </c>
      <c r="C62" s="406">
        <v>12000</v>
      </c>
      <c r="D62" s="448"/>
      <c r="E62" s="450"/>
      <c r="F62" s="451"/>
      <c r="G62" s="449"/>
      <c r="H62" s="367"/>
    </row>
    <row r="63" spans="1:10" ht="15" customHeight="1" x14ac:dyDescent="0.25">
      <c r="A63" s="403" t="s">
        <v>104</v>
      </c>
      <c r="B63" s="365"/>
      <c r="C63" s="406"/>
      <c r="D63" s="448"/>
      <c r="E63" s="450"/>
      <c r="F63" s="451"/>
      <c r="G63" s="449"/>
      <c r="H63" s="367"/>
    </row>
    <row r="64" spans="1:10" ht="15" customHeight="1" x14ac:dyDescent="0.25">
      <c r="A64" s="373" t="s">
        <v>105</v>
      </c>
      <c r="B64" s="352" t="s">
        <v>106</v>
      </c>
      <c r="C64" s="406"/>
      <c r="D64" s="448"/>
      <c r="E64" s="450"/>
      <c r="F64" s="451"/>
      <c r="G64" s="449"/>
      <c r="H64" s="367"/>
    </row>
    <row r="65" spans="1:9" s="44" customFormat="1" ht="15" customHeight="1" x14ac:dyDescent="0.25">
      <c r="A65" s="396" t="s">
        <v>112</v>
      </c>
      <c r="B65" s="436"/>
      <c r="C65" s="398">
        <f>SUM(C61:C64)</f>
        <v>20000</v>
      </c>
      <c r="D65" s="398">
        <f>SUM(D59:D59)</f>
        <v>0</v>
      </c>
      <c r="E65" s="398">
        <f>SUM(E60:E64)</f>
        <v>0</v>
      </c>
      <c r="F65" s="398">
        <f>SUM(F61:F64)</f>
        <v>0</v>
      </c>
      <c r="G65" s="398">
        <f>SUM(G59:G64)</f>
        <v>0</v>
      </c>
      <c r="H65" s="574"/>
      <c r="I65" s="1048"/>
    </row>
    <row r="66" spans="1:9" s="53" customFormat="1" ht="15" customHeight="1" x14ac:dyDescent="0.25">
      <c r="A66" s="491" t="s">
        <v>113</v>
      </c>
      <c r="B66" s="437"/>
      <c r="C66" s="421">
        <f>C35+C58+C65</f>
        <v>68038009.540000007</v>
      </c>
      <c r="D66" s="421">
        <f>D35+D58+D65</f>
        <v>33469790.869999997</v>
      </c>
      <c r="E66" s="421">
        <f>E35+E58+E65</f>
        <v>47335335.892000012</v>
      </c>
      <c r="F66" s="421">
        <f>F35+F58+F65</f>
        <v>80805126.762000009</v>
      </c>
      <c r="G66" s="421">
        <f>G35+G58+G65</f>
        <v>82023066.370000005</v>
      </c>
      <c r="H66" s="577"/>
      <c r="I66" s="1049"/>
    </row>
    <row r="67" spans="1:9" x14ac:dyDescent="0.25">
      <c r="A67" s="16"/>
      <c r="B67" s="16"/>
      <c r="C67" s="16"/>
      <c r="D67" s="16"/>
      <c r="E67" s="16"/>
      <c r="F67" s="16"/>
      <c r="G67" s="16"/>
      <c r="H67" s="367"/>
    </row>
    <row r="68" spans="1:9" x14ac:dyDescent="0.25">
      <c r="A68" s="16"/>
      <c r="B68" s="16"/>
      <c r="C68" s="16"/>
      <c r="D68" s="16"/>
      <c r="E68" s="16"/>
      <c r="F68" s="16"/>
      <c r="G68" s="16"/>
      <c r="H68" s="367"/>
    </row>
    <row r="69" spans="1:9" x14ac:dyDescent="0.25">
      <c r="A69" s="16"/>
      <c r="B69" s="16"/>
      <c r="C69" s="16"/>
      <c r="D69" s="16"/>
      <c r="E69" s="16"/>
      <c r="F69" s="16"/>
      <c r="G69" s="16"/>
      <c r="H69" s="367"/>
    </row>
    <row r="70" spans="1:9" x14ac:dyDescent="0.25">
      <c r="A70" s="16"/>
      <c r="B70" s="16"/>
      <c r="C70" s="16"/>
      <c r="D70" s="16"/>
      <c r="E70" s="16"/>
      <c r="F70" s="16"/>
      <c r="G70" s="16"/>
      <c r="H70" s="367"/>
    </row>
    <row r="71" spans="1:9" x14ac:dyDescent="0.25">
      <c r="A71" s="16"/>
      <c r="B71" s="16"/>
      <c r="C71" s="16"/>
      <c r="D71" s="16"/>
      <c r="E71" s="16"/>
      <c r="F71" s="16"/>
      <c r="G71" s="16"/>
      <c r="H71" s="367"/>
    </row>
    <row r="72" spans="1:9" x14ac:dyDescent="0.25">
      <c r="A72" s="16"/>
      <c r="B72" s="16"/>
      <c r="C72" s="16"/>
      <c r="D72" s="16"/>
      <c r="E72" s="16"/>
      <c r="F72" s="16"/>
      <c r="G72" s="16"/>
      <c r="H72" s="367"/>
    </row>
    <row r="73" spans="1:9" x14ac:dyDescent="0.25">
      <c r="A73" s="16"/>
      <c r="B73" s="16"/>
      <c r="C73" s="16"/>
      <c r="D73" s="16"/>
      <c r="E73" s="16"/>
      <c r="F73" s="16"/>
      <c r="G73" s="16"/>
      <c r="H73" s="367"/>
    </row>
    <row r="74" spans="1:9" x14ac:dyDescent="0.25">
      <c r="A74" s="16"/>
      <c r="B74" s="16"/>
      <c r="C74" s="16"/>
      <c r="D74" s="16"/>
      <c r="E74" s="16"/>
      <c r="F74" s="16"/>
      <c r="G74" s="16"/>
      <c r="H74" s="367"/>
    </row>
    <row r="75" spans="1:9" x14ac:dyDescent="0.25">
      <c r="A75" s="16"/>
      <c r="B75" s="16"/>
      <c r="C75" s="16"/>
      <c r="D75" s="16"/>
      <c r="E75" s="16"/>
      <c r="F75" s="16"/>
      <c r="G75" s="16"/>
      <c r="H75" s="367"/>
    </row>
    <row r="76" spans="1:9" x14ac:dyDescent="0.25">
      <c r="A76" s="16"/>
      <c r="B76" s="16"/>
      <c r="C76" s="16"/>
      <c r="D76" s="16"/>
      <c r="E76" s="16"/>
      <c r="F76" s="16"/>
      <c r="G76" s="16"/>
      <c r="H76" s="367"/>
    </row>
    <row r="77" spans="1:9" x14ac:dyDescent="0.25">
      <c r="A77" s="16"/>
      <c r="B77" s="16"/>
      <c r="C77" s="16"/>
      <c r="D77" s="16"/>
      <c r="E77" s="16"/>
      <c r="F77" s="16"/>
      <c r="G77" s="16"/>
      <c r="H77" s="367"/>
    </row>
    <row r="78" spans="1:9" x14ac:dyDescent="0.25">
      <c r="A78" s="16"/>
      <c r="B78" s="16"/>
      <c r="C78" s="16"/>
      <c r="D78" s="16"/>
      <c r="E78" s="16"/>
      <c r="F78" s="16"/>
      <c r="G78" s="16"/>
      <c r="H78" s="367"/>
    </row>
    <row r="79" spans="1:9" x14ac:dyDescent="0.25">
      <c r="A79" s="16"/>
      <c r="B79" s="16"/>
      <c r="C79" s="16"/>
      <c r="D79" s="16"/>
      <c r="E79" s="16"/>
      <c r="F79" s="16"/>
      <c r="G79" s="16"/>
      <c r="H79" s="367"/>
    </row>
    <row r="80" spans="1:9" x14ac:dyDescent="0.25">
      <c r="A80" s="16"/>
      <c r="B80" s="16"/>
      <c r="C80" s="16"/>
      <c r="D80" s="16"/>
      <c r="E80" s="16"/>
      <c r="F80" s="16"/>
      <c r="G80" s="16"/>
      <c r="H80" s="367"/>
    </row>
    <row r="81" spans="1:8" x14ac:dyDescent="0.25">
      <c r="A81" s="16"/>
      <c r="B81" s="16"/>
      <c r="C81" s="16"/>
      <c r="D81" s="16"/>
      <c r="E81" s="16"/>
      <c r="F81" s="16"/>
      <c r="G81" s="16"/>
      <c r="H81" s="367"/>
    </row>
    <row r="82" spans="1:8" x14ac:dyDescent="0.25">
      <c r="A82" s="16"/>
      <c r="B82" s="16"/>
      <c r="C82" s="16"/>
      <c r="D82" s="16"/>
      <c r="E82" s="16"/>
      <c r="F82" s="16"/>
      <c r="G82" s="16"/>
      <c r="H82" s="367"/>
    </row>
    <row r="83" spans="1:8" x14ac:dyDescent="0.25">
      <c r="A83" s="16"/>
      <c r="B83" s="16"/>
      <c r="C83" s="16"/>
      <c r="D83" s="16"/>
      <c r="E83" s="16"/>
      <c r="F83" s="16"/>
      <c r="G83" s="16"/>
      <c r="H83" s="367"/>
    </row>
    <row r="84" spans="1:8" x14ac:dyDescent="0.25">
      <c r="A84" s="16"/>
      <c r="B84" s="16"/>
      <c r="C84" s="16"/>
      <c r="D84" s="16"/>
      <c r="E84" s="16"/>
      <c r="F84" s="16"/>
      <c r="G84" s="16"/>
      <c r="H84" s="367"/>
    </row>
    <row r="85" spans="1:8" x14ac:dyDescent="0.25">
      <c r="A85" s="16"/>
      <c r="B85" s="16"/>
      <c r="C85" s="16"/>
      <c r="D85" s="16"/>
      <c r="E85" s="16"/>
      <c r="F85" s="16"/>
      <c r="G85" s="16"/>
      <c r="H85" s="367"/>
    </row>
    <row r="86" spans="1:8" x14ac:dyDescent="0.25">
      <c r="A86" s="16"/>
      <c r="B86" s="16"/>
      <c r="C86" s="16"/>
      <c r="D86" s="16"/>
      <c r="E86" s="16"/>
      <c r="F86" s="16"/>
      <c r="G86" s="16"/>
      <c r="H86" s="367"/>
    </row>
    <row r="87" spans="1:8" x14ac:dyDescent="0.25">
      <c r="A87" s="16"/>
      <c r="B87" s="16"/>
      <c r="C87" s="16"/>
      <c r="D87" s="16"/>
      <c r="E87" s="16"/>
      <c r="F87" s="16"/>
      <c r="G87" s="16"/>
      <c r="H87" s="367"/>
    </row>
    <row r="88" spans="1:8" x14ac:dyDescent="0.25">
      <c r="A88" s="16"/>
      <c r="B88" s="16"/>
      <c r="C88" s="16"/>
      <c r="D88" s="16"/>
      <c r="E88" s="16"/>
      <c r="F88" s="16"/>
      <c r="G88" s="16"/>
      <c r="H88" s="367"/>
    </row>
    <row r="89" spans="1:8" x14ac:dyDescent="0.25">
      <c r="A89" s="16"/>
      <c r="B89" s="16"/>
      <c r="C89" s="16"/>
      <c r="D89" s="16"/>
      <c r="E89" s="16"/>
      <c r="F89" s="16"/>
      <c r="G89" s="16"/>
      <c r="H89" s="367"/>
    </row>
    <row r="90" spans="1:8" ht="38.25" customHeight="1" x14ac:dyDescent="0.25">
      <c r="A90" s="16"/>
      <c r="B90" s="16"/>
      <c r="C90" s="16"/>
      <c r="D90" s="16"/>
      <c r="E90" s="16"/>
      <c r="F90" s="16"/>
      <c r="G90" s="16"/>
      <c r="H90" s="367"/>
    </row>
    <row r="91" spans="1:8" x14ac:dyDescent="0.25">
      <c r="A91" s="16"/>
      <c r="B91" s="16"/>
      <c r="C91" s="16"/>
      <c r="D91" s="16"/>
      <c r="E91" s="16"/>
      <c r="F91" s="16"/>
      <c r="G91" s="16"/>
      <c r="H91" s="367"/>
    </row>
    <row r="92" spans="1:8" x14ac:dyDescent="0.25">
      <c r="A92" s="16"/>
      <c r="B92" s="16"/>
      <c r="C92" s="16"/>
      <c r="D92" s="16"/>
      <c r="E92" s="16"/>
      <c r="F92" s="16"/>
      <c r="G92" s="16"/>
      <c r="H92" s="367"/>
    </row>
    <row r="93" spans="1:8" x14ac:dyDescent="0.25">
      <c r="A93" s="16"/>
      <c r="B93" s="16"/>
      <c r="C93" s="16"/>
      <c r="D93" s="16"/>
      <c r="E93" s="16"/>
      <c r="F93" s="16"/>
      <c r="G93" s="16"/>
      <c r="H93" s="367"/>
    </row>
    <row r="94" spans="1:8" x14ac:dyDescent="0.25">
      <c r="A94" s="16"/>
      <c r="B94" s="16"/>
      <c r="C94" s="16"/>
      <c r="D94" s="16"/>
      <c r="E94" s="16"/>
      <c r="F94" s="16"/>
      <c r="G94" s="16"/>
      <c r="H94" s="367"/>
    </row>
    <row r="95" spans="1:8" x14ac:dyDescent="0.25">
      <c r="A95" s="16"/>
      <c r="B95" s="353"/>
      <c r="C95" s="16"/>
      <c r="D95" s="16"/>
      <c r="E95" s="16"/>
      <c r="F95" s="16"/>
      <c r="G95" s="16"/>
      <c r="H95" s="367"/>
    </row>
    <row r="96" spans="1:8" x14ac:dyDescent="0.25">
      <c r="A96" s="16"/>
      <c r="B96" s="16"/>
      <c r="C96" s="16"/>
      <c r="D96" s="16"/>
      <c r="E96" s="16"/>
      <c r="F96" s="16"/>
      <c r="G96" s="16"/>
      <c r="H96" s="367"/>
    </row>
    <row r="97" spans="1:8" x14ac:dyDescent="0.25">
      <c r="A97" s="16"/>
      <c r="B97" s="16"/>
      <c r="C97" s="16"/>
      <c r="D97" s="16"/>
      <c r="E97" s="16"/>
      <c r="F97" s="16"/>
      <c r="G97" s="16"/>
      <c r="H97" s="367"/>
    </row>
    <row r="98" spans="1:8" x14ac:dyDescent="0.25">
      <c r="A98" s="16"/>
      <c r="B98" s="16"/>
      <c r="C98" s="16"/>
      <c r="D98" s="16"/>
      <c r="E98" s="16"/>
      <c r="F98" s="16"/>
      <c r="G98" s="16"/>
      <c r="H98" s="367"/>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09" fitToHeight="0" orientation="portrait" useFirstPageNumber="1" horizontalDpi="360" verticalDpi="360" r:id="rId1"/>
  <headerFooter scaleWithDoc="0">
    <oddFooter>&amp;C&amp;"Candara,Regular"&amp;10Page &amp;"Candara,Bold"&amp;P</oddFooter>
  </headerFooter>
  <rowBreaks count="1" manualBreakCount="1">
    <brk id="6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K101"/>
  <sheetViews>
    <sheetView view="pageBreakPreview" topLeftCell="A58" zoomScale="70" zoomScaleNormal="85" zoomScaleSheetLayoutView="70" workbookViewId="0">
      <pane xSplit="1" topLeftCell="B1" activePane="topRight" state="frozen"/>
      <selection activeCell="C40" sqref="C40"/>
      <selection pane="topRight" activeCell="C40" sqref="C40"/>
    </sheetView>
  </sheetViews>
  <sheetFormatPr defaultColWidth="9.140625" defaultRowHeight="15" x14ac:dyDescent="0.25"/>
  <cols>
    <col min="1" max="1" width="37.7109375" style="41" customWidth="1"/>
    <col min="2" max="2" width="12.7109375" style="41" customWidth="1"/>
    <col min="3" max="4" width="14.7109375" style="41" customWidth="1"/>
    <col min="5" max="5" width="15.85546875" style="41" bestFit="1" customWidth="1"/>
    <col min="6" max="7" width="14.7109375" style="41" customWidth="1"/>
    <col min="8" max="8" width="16.85546875" style="279" bestFit="1" customWidth="1"/>
    <col min="9" max="9" width="9.140625" style="41"/>
    <col min="10" max="10" width="12.5703125" style="49" bestFit="1" customWidth="1"/>
    <col min="11" max="16384" width="9.140625" style="41"/>
  </cols>
  <sheetData>
    <row r="1" spans="1:10" ht="15" customHeight="1" x14ac:dyDescent="0.25">
      <c r="A1" s="1071" t="s">
        <v>807</v>
      </c>
      <c r="B1" s="1071"/>
      <c r="C1" s="1071"/>
      <c r="D1" s="1071"/>
      <c r="E1" s="1071"/>
      <c r="F1" s="1071"/>
      <c r="G1" s="1071"/>
    </row>
    <row r="2" spans="1:10" ht="18.75" customHeight="1" x14ac:dyDescent="0.3">
      <c r="A2" s="1072" t="s">
        <v>232</v>
      </c>
      <c r="B2" s="1072"/>
      <c r="C2" s="1072"/>
      <c r="D2" s="1072"/>
      <c r="E2" s="1072"/>
      <c r="F2" s="1072"/>
      <c r="G2" s="1072"/>
    </row>
    <row r="3" spans="1:10" ht="15.75" customHeight="1" x14ac:dyDescent="0.25">
      <c r="A3" s="1073" t="s">
        <v>233</v>
      </c>
      <c r="B3" s="1073"/>
      <c r="C3" s="1073"/>
      <c r="D3" s="1073"/>
      <c r="E3" s="1073"/>
      <c r="F3" s="1073"/>
      <c r="G3" s="1073"/>
    </row>
    <row r="4" spans="1:10" ht="15" customHeight="1" x14ac:dyDescent="0.25">
      <c r="A4" s="1074" t="s">
        <v>124</v>
      </c>
      <c r="B4" s="1075"/>
      <c r="C4" s="1075"/>
      <c r="D4" s="1075"/>
      <c r="E4" s="1075"/>
      <c r="F4" s="1075"/>
      <c r="G4" s="1075"/>
    </row>
    <row r="6" spans="1:10" s="43" customFormat="1" ht="12" x14ac:dyDescent="0.2">
      <c r="A6" s="1099" t="s">
        <v>1</v>
      </c>
      <c r="B6" s="1099" t="s">
        <v>2</v>
      </c>
      <c r="C6" s="1099" t="s">
        <v>310</v>
      </c>
      <c r="D6" s="1100" t="s">
        <v>307</v>
      </c>
      <c r="E6" s="1100"/>
      <c r="F6" s="1100"/>
      <c r="G6" s="1099" t="s">
        <v>311</v>
      </c>
      <c r="H6" s="357"/>
      <c r="J6" s="1046"/>
    </row>
    <row r="7" spans="1:10" s="43" customFormat="1" ht="12" x14ac:dyDescent="0.2">
      <c r="A7" s="1099"/>
      <c r="B7" s="1099"/>
      <c r="C7" s="1099"/>
      <c r="D7" s="1100"/>
      <c r="E7" s="1100"/>
      <c r="F7" s="1100"/>
      <c r="G7" s="1099"/>
      <c r="H7" s="357"/>
      <c r="J7" s="1046"/>
    </row>
    <row r="8" spans="1:10" s="43" customFormat="1" ht="24" x14ac:dyDescent="0.2">
      <c r="A8" s="1099"/>
      <c r="B8" s="1099"/>
      <c r="C8" s="1099"/>
      <c r="D8" s="359" t="s">
        <v>308</v>
      </c>
      <c r="E8" s="359" t="s">
        <v>309</v>
      </c>
      <c r="F8" s="359" t="s">
        <v>3</v>
      </c>
      <c r="G8" s="1099"/>
      <c r="H8" s="357"/>
      <c r="J8" s="1046"/>
    </row>
    <row r="9" spans="1:10" s="70" customFormat="1" ht="11.25" x14ac:dyDescent="0.25">
      <c r="A9" s="360">
        <v>1</v>
      </c>
      <c r="B9" s="360">
        <v>2</v>
      </c>
      <c r="C9" s="360">
        <v>3</v>
      </c>
      <c r="D9" s="360">
        <v>4</v>
      </c>
      <c r="E9" s="360">
        <v>5</v>
      </c>
      <c r="F9" s="360">
        <v>6</v>
      </c>
      <c r="G9" s="360">
        <v>7</v>
      </c>
      <c r="H9" s="567" t="s">
        <v>497</v>
      </c>
      <c r="J9" s="1047"/>
    </row>
    <row r="10" spans="1:10" ht="15" customHeight="1" x14ac:dyDescent="0.25">
      <c r="A10" s="429" t="s">
        <v>4</v>
      </c>
      <c r="B10" s="362"/>
      <c r="C10" s="430"/>
      <c r="D10" s="363"/>
      <c r="E10" s="430"/>
      <c r="F10" s="363"/>
      <c r="G10" s="431"/>
      <c r="H10" s="17">
        <v>38</v>
      </c>
    </row>
    <row r="11" spans="1:10" ht="15" customHeight="1" x14ac:dyDescent="0.25">
      <c r="A11" s="403" t="s">
        <v>5</v>
      </c>
      <c r="B11" s="365"/>
      <c r="C11" s="404"/>
      <c r="D11" s="366"/>
      <c r="E11" s="404"/>
      <c r="F11" s="366"/>
      <c r="G11" s="405"/>
      <c r="H11" s="367"/>
    </row>
    <row r="12" spans="1:10" ht="15" customHeight="1" x14ac:dyDescent="0.25">
      <c r="A12" s="373" t="str">
        <f>"Salaries and Wages - Regular (" &amp; H10 &amp; ")"</f>
        <v>Salaries and Wages - Regular (38)</v>
      </c>
      <c r="B12" s="352" t="s">
        <v>6</v>
      </c>
      <c r="C12" s="406">
        <v>8399695.5199999996</v>
      </c>
      <c r="D12" s="369">
        <v>5170030.8</v>
      </c>
      <c r="E12" s="578">
        <f>F12-D12</f>
        <v>5170030.7999999961</v>
      </c>
      <c r="F12" s="369">
        <v>10340061.599999996</v>
      </c>
      <c r="G12" s="408">
        <f>H12+J12</f>
        <v>11189830.799999999</v>
      </c>
      <c r="H12" s="601">
        <v>10733830.799999999</v>
      </c>
      <c r="J12" s="49">
        <f>J15/2</f>
        <v>456000</v>
      </c>
    </row>
    <row r="13" spans="1:10" ht="15" customHeight="1" x14ac:dyDescent="0.25">
      <c r="A13" s="373" t="s">
        <v>459</v>
      </c>
      <c r="B13" s="352" t="s">
        <v>121</v>
      </c>
      <c r="C13" s="406">
        <v>354216.8</v>
      </c>
      <c r="D13" s="369"/>
      <c r="E13" s="578">
        <f>F13-D13</f>
        <v>0</v>
      </c>
      <c r="F13" s="369"/>
      <c r="G13" s="408"/>
      <c r="H13" s="367"/>
    </row>
    <row r="14" spans="1:10" ht="15" customHeight="1" x14ac:dyDescent="0.25">
      <c r="A14" s="403" t="s">
        <v>7</v>
      </c>
      <c r="B14" s="365"/>
      <c r="C14" s="404"/>
      <c r="D14" s="366"/>
      <c r="E14" s="578"/>
      <c r="F14" s="366"/>
      <c r="G14" s="405"/>
      <c r="H14" s="367"/>
    </row>
    <row r="15" spans="1:10" ht="15" customHeight="1" x14ac:dyDescent="0.25">
      <c r="A15" s="373" t="s">
        <v>8</v>
      </c>
      <c r="B15" s="352" t="s">
        <v>9</v>
      </c>
      <c r="C15" s="406">
        <v>762000</v>
      </c>
      <c r="D15" s="369">
        <v>456000</v>
      </c>
      <c r="E15" s="578">
        <f t="shared" ref="E15:E20" si="0">F15-D15</f>
        <v>456000</v>
      </c>
      <c r="F15" s="369">
        <v>912000</v>
      </c>
      <c r="G15" s="408">
        <f>param_pera*SECSP_PLATILLA_ITEMS*12</f>
        <v>912000</v>
      </c>
      <c r="H15" s="568"/>
      <c r="J15" s="49">
        <v>912000</v>
      </c>
    </row>
    <row r="16" spans="1:10" ht="15" customHeight="1" x14ac:dyDescent="0.25">
      <c r="A16" s="373" t="s">
        <v>11</v>
      </c>
      <c r="B16" s="352" t="s">
        <v>12</v>
      </c>
      <c r="C16" s="406">
        <v>135000</v>
      </c>
      <c r="D16" s="369">
        <v>67500</v>
      </c>
      <c r="E16" s="578">
        <f t="shared" si="0"/>
        <v>67500</v>
      </c>
      <c r="F16" s="369">
        <v>135000</v>
      </c>
      <c r="G16" s="408">
        <f>H16*12</f>
        <v>135000</v>
      </c>
      <c r="H16" s="568">
        <v>11250</v>
      </c>
    </row>
    <row r="17" spans="1:11" ht="15" customHeight="1" x14ac:dyDescent="0.25">
      <c r="A17" s="373" t="s">
        <v>13</v>
      </c>
      <c r="B17" s="352" t="s">
        <v>14</v>
      </c>
      <c r="C17" s="406">
        <v>135000</v>
      </c>
      <c r="D17" s="369">
        <v>67500</v>
      </c>
      <c r="E17" s="578">
        <f t="shared" si="0"/>
        <v>67500</v>
      </c>
      <c r="F17" s="369">
        <v>135000</v>
      </c>
      <c r="G17" s="408">
        <f>H17*12</f>
        <v>135000</v>
      </c>
      <c r="H17" s="568">
        <v>11250</v>
      </c>
    </row>
    <row r="18" spans="1:11" ht="15" customHeight="1" x14ac:dyDescent="0.25">
      <c r="A18" s="373" t="s">
        <v>15</v>
      </c>
      <c r="B18" s="352" t="s">
        <v>16</v>
      </c>
      <c r="C18" s="406">
        <v>204000</v>
      </c>
      <c r="D18" s="369">
        <v>228000</v>
      </c>
      <c r="E18" s="578">
        <f t="shared" si="0"/>
        <v>0</v>
      </c>
      <c r="F18" s="369">
        <v>228000</v>
      </c>
      <c r="G18" s="408">
        <f>param_uniform*SECSP_PLATILLA_ITEMS</f>
        <v>228000</v>
      </c>
      <c r="H18" s="568"/>
    </row>
    <row r="19" spans="1:11" ht="15" customHeight="1" x14ac:dyDescent="0.25">
      <c r="A19" s="373" t="s">
        <v>126</v>
      </c>
      <c r="B19" s="352" t="s">
        <v>125</v>
      </c>
      <c r="C19" s="369">
        <v>49704</v>
      </c>
      <c r="D19" s="369"/>
      <c r="E19" s="369">
        <f t="shared" si="0"/>
        <v>2000000</v>
      </c>
      <c r="F19" s="369">
        <v>2000000</v>
      </c>
      <c r="G19" s="369">
        <v>100000</v>
      </c>
      <c r="H19" s="372"/>
    </row>
    <row r="20" spans="1:11" ht="15" customHeight="1" x14ac:dyDescent="0.25">
      <c r="A20" s="373" t="s">
        <v>17</v>
      </c>
      <c r="B20" s="352" t="s">
        <v>18</v>
      </c>
      <c r="C20" s="406">
        <v>700833</v>
      </c>
      <c r="D20" s="369"/>
      <c r="E20" s="578">
        <f t="shared" si="0"/>
        <v>861671.7999999997</v>
      </c>
      <c r="F20" s="369">
        <v>861671.7999999997</v>
      </c>
      <c r="G20" s="408">
        <f>H12/12+J20</f>
        <v>1122485.8999999999</v>
      </c>
      <c r="H20" s="568"/>
      <c r="J20" s="49">
        <f>J15/4</f>
        <v>228000</v>
      </c>
    </row>
    <row r="21" spans="1:11" ht="15" customHeight="1" x14ac:dyDescent="0.25">
      <c r="A21" s="373" t="s">
        <v>19</v>
      </c>
      <c r="B21" s="352" t="s">
        <v>20</v>
      </c>
      <c r="C21" s="406">
        <v>170000</v>
      </c>
      <c r="D21" s="369"/>
      <c r="E21" s="578">
        <f>F21-D21</f>
        <v>190000</v>
      </c>
      <c r="F21" s="369">
        <v>190000</v>
      </c>
      <c r="G21" s="408">
        <f>param_cash_gift*SECSP_PLATILLA_ITEMS</f>
        <v>190000</v>
      </c>
      <c r="H21" s="568"/>
      <c r="K21" s="41" t="s">
        <v>610</v>
      </c>
    </row>
    <row r="22" spans="1:11" ht="15" customHeight="1" x14ac:dyDescent="0.25">
      <c r="A22" s="403" t="s">
        <v>21</v>
      </c>
      <c r="B22" s="365"/>
      <c r="C22" s="404"/>
      <c r="D22" s="366"/>
      <c r="E22" s="578"/>
      <c r="F22" s="366"/>
      <c r="G22" s="405"/>
      <c r="H22" s="568"/>
    </row>
    <row r="23" spans="1:11" ht="15" customHeight="1" x14ac:dyDescent="0.25">
      <c r="A23" s="373" t="s">
        <v>22</v>
      </c>
      <c r="B23" s="352" t="s">
        <v>23</v>
      </c>
      <c r="C23" s="406">
        <v>1004407.49</v>
      </c>
      <c r="D23" s="369">
        <v>620403.69999999995</v>
      </c>
      <c r="E23" s="578">
        <f t="shared" ref="E23:E26" si="1">F23-D23</f>
        <v>620403.69199999957</v>
      </c>
      <c r="F23" s="369">
        <v>1240807.3919999995</v>
      </c>
      <c r="G23" s="408">
        <f>H12*12%</f>
        <v>1288059.6959999998</v>
      </c>
      <c r="H23" s="568"/>
    </row>
    <row r="24" spans="1:11" ht="15" customHeight="1" x14ac:dyDescent="0.25">
      <c r="A24" s="373" t="s">
        <v>24</v>
      </c>
      <c r="B24" s="352" t="s">
        <v>25</v>
      </c>
      <c r="C24" s="406">
        <v>50275.8</v>
      </c>
      <c r="D24" s="369">
        <v>34200</v>
      </c>
      <c r="E24" s="578">
        <f t="shared" si="1"/>
        <v>34200</v>
      </c>
      <c r="F24" s="369">
        <v>68400</v>
      </c>
      <c r="G24" s="408">
        <f>param_pagibig*SECSP_PLATILLA_ITEMS*12</f>
        <v>68400</v>
      </c>
      <c r="H24" s="568"/>
    </row>
    <row r="25" spans="1:11" ht="15" customHeight="1" x14ac:dyDescent="0.25">
      <c r="A25" s="373" t="s">
        <v>26</v>
      </c>
      <c r="B25" s="352" t="s">
        <v>27</v>
      </c>
      <c r="C25" s="406">
        <v>107145.85</v>
      </c>
      <c r="D25" s="369">
        <v>120000</v>
      </c>
      <c r="E25" s="578">
        <f t="shared" si="1"/>
        <v>120000</v>
      </c>
      <c r="F25" s="369">
        <v>240000</v>
      </c>
      <c r="G25" s="408">
        <f>ROUND(H25+(H25*0.1), -1)</f>
        <v>229440</v>
      </c>
      <c r="H25" s="568">
        <v>208581.52799999999</v>
      </c>
    </row>
    <row r="26" spans="1:11" ht="15" customHeight="1" x14ac:dyDescent="0.25">
      <c r="A26" s="373" t="s">
        <v>28</v>
      </c>
      <c r="B26" s="352" t="s">
        <v>29</v>
      </c>
      <c r="C26" s="406">
        <v>40800</v>
      </c>
      <c r="D26" s="369">
        <v>34200</v>
      </c>
      <c r="E26" s="578">
        <f t="shared" si="1"/>
        <v>34200</v>
      </c>
      <c r="F26" s="369">
        <v>68400</v>
      </c>
      <c r="G26" s="408">
        <f>param_ecc*SECSP_PLATILLA_ITEMS*12</f>
        <v>68400</v>
      </c>
      <c r="H26" s="568"/>
    </row>
    <row r="27" spans="1:11" ht="15" customHeight="1" x14ac:dyDescent="0.25">
      <c r="A27" s="403" t="s">
        <v>30</v>
      </c>
      <c r="B27" s="365"/>
      <c r="C27" s="404"/>
      <c r="D27" s="366"/>
      <c r="E27" s="578"/>
      <c r="F27" s="366"/>
      <c r="G27" s="405"/>
      <c r="H27" s="568"/>
    </row>
    <row r="28" spans="1:11" ht="15" customHeight="1" x14ac:dyDescent="0.25">
      <c r="A28" s="373" t="s">
        <v>31</v>
      </c>
      <c r="B28" s="352" t="s">
        <v>32</v>
      </c>
      <c r="C28" s="406"/>
      <c r="D28" s="369"/>
      <c r="E28" s="578"/>
      <c r="F28" s="369"/>
      <c r="G28" s="408"/>
      <c r="H28" s="568"/>
    </row>
    <row r="29" spans="1:11" ht="15" customHeight="1" x14ac:dyDescent="0.25">
      <c r="A29" s="373" t="s">
        <v>30</v>
      </c>
      <c r="B29" s="352" t="s">
        <v>33</v>
      </c>
      <c r="C29" s="406"/>
      <c r="D29" s="369"/>
      <c r="E29" s="369"/>
      <c r="F29" s="369"/>
      <c r="G29" s="408"/>
      <c r="H29" s="573">
        <f>SUM(G29:G36)</f>
        <v>1542485.9</v>
      </c>
    </row>
    <row r="30" spans="1:11" ht="15" customHeight="1" x14ac:dyDescent="0.25">
      <c r="A30" s="434" t="s">
        <v>332</v>
      </c>
      <c r="B30" s="352"/>
      <c r="C30" s="406">
        <v>617341</v>
      </c>
      <c r="D30" s="369">
        <v>861671.8</v>
      </c>
      <c r="E30" s="578">
        <f t="shared" ref="E30:E33" si="2">F30-D30</f>
        <v>0</v>
      </c>
      <c r="F30" s="369">
        <v>861671.7999999997</v>
      </c>
      <c r="G30" s="408">
        <f>H12/12+J30</f>
        <v>1122485.8999999999</v>
      </c>
      <c r="H30" s="568"/>
      <c r="J30" s="49">
        <f>J15/4</f>
        <v>228000</v>
      </c>
    </row>
    <row r="31" spans="1:11" ht="15" customHeight="1" x14ac:dyDescent="0.25">
      <c r="A31" s="434" t="s">
        <v>333</v>
      </c>
      <c r="B31" s="352"/>
      <c r="C31" s="406">
        <v>170000</v>
      </c>
      <c r="D31" s="369"/>
      <c r="E31" s="578">
        <f t="shared" si="2"/>
        <v>190000</v>
      </c>
      <c r="F31" s="369">
        <v>190000</v>
      </c>
      <c r="G31" s="408">
        <f>param_pei*SECSP_PLATILLA_ITEMS</f>
        <v>190000</v>
      </c>
      <c r="H31" s="568"/>
    </row>
    <row r="32" spans="1:11" ht="30" customHeight="1" x14ac:dyDescent="0.25">
      <c r="A32" s="434" t="s">
        <v>649</v>
      </c>
      <c r="B32" s="352"/>
      <c r="C32" s="406"/>
      <c r="D32" s="369"/>
      <c r="E32" s="578">
        <f t="shared" si="2"/>
        <v>190000</v>
      </c>
      <c r="F32" s="369">
        <v>190000</v>
      </c>
      <c r="G32" s="408">
        <f>param_pbb*SECSP_PLATILLA_ITEMS</f>
        <v>190000</v>
      </c>
      <c r="H32" s="568"/>
    </row>
    <row r="33" spans="1:8" ht="15" customHeight="1" x14ac:dyDescent="0.25">
      <c r="A33" s="441" t="s">
        <v>334</v>
      </c>
      <c r="B33" s="442"/>
      <c r="C33" s="443"/>
      <c r="D33" s="444"/>
      <c r="E33" s="578">
        <f t="shared" si="2"/>
        <v>40000</v>
      </c>
      <c r="F33" s="444">
        <v>40000</v>
      </c>
      <c r="G33" s="387">
        <v>40000</v>
      </c>
      <c r="H33" s="573"/>
    </row>
    <row r="34" spans="1:8" ht="15" customHeight="1" x14ac:dyDescent="0.25">
      <c r="A34" s="376" t="s">
        <v>650</v>
      </c>
      <c r="B34" s="352"/>
      <c r="C34" s="369">
        <v>875000</v>
      </c>
      <c r="D34" s="369"/>
      <c r="E34" s="369"/>
      <c r="F34" s="369"/>
      <c r="G34" s="369"/>
      <c r="H34" s="375"/>
    </row>
    <row r="35" spans="1:8" ht="15" customHeight="1" x14ac:dyDescent="0.25">
      <c r="A35" s="376" t="s">
        <v>652</v>
      </c>
      <c r="B35" s="352"/>
      <c r="C35" s="369"/>
      <c r="D35" s="369"/>
      <c r="E35" s="369"/>
      <c r="F35" s="369"/>
      <c r="G35" s="369"/>
      <c r="H35" s="375"/>
    </row>
    <row r="36" spans="1:8" ht="15" customHeight="1" x14ac:dyDescent="0.25">
      <c r="A36" s="378" t="s">
        <v>653</v>
      </c>
      <c r="B36" s="379"/>
      <c r="C36" s="380">
        <v>350000</v>
      </c>
      <c r="D36" s="380"/>
      <c r="E36" s="381"/>
      <c r="F36" s="380"/>
      <c r="G36" s="380"/>
      <c r="H36" s="375"/>
    </row>
    <row r="37" spans="1:8" ht="15" customHeight="1" x14ac:dyDescent="0.25">
      <c r="A37" s="602" t="s">
        <v>34</v>
      </c>
      <c r="B37" s="603"/>
      <c r="C37" s="604">
        <f>SUM(C11:C36)</f>
        <v>14125419.460000001</v>
      </c>
      <c r="D37" s="604">
        <f t="shared" ref="D37:F37" si="3">SUM(D11:D36)</f>
        <v>7659506.2999999998</v>
      </c>
      <c r="E37" s="604">
        <f t="shared" si="3"/>
        <v>10041506.291999996</v>
      </c>
      <c r="F37" s="604">
        <f t="shared" si="3"/>
        <v>17701012.591999993</v>
      </c>
      <c r="G37" s="604">
        <f>SUM(G11:G36)</f>
        <v>17209102.296</v>
      </c>
      <c r="H37" s="17"/>
    </row>
    <row r="38" spans="1:8" ht="15" customHeight="1" x14ac:dyDescent="0.25">
      <c r="A38" s="429" t="s">
        <v>35</v>
      </c>
      <c r="B38" s="362"/>
      <c r="C38" s="430"/>
      <c r="D38" s="363"/>
      <c r="E38" s="430"/>
      <c r="F38" s="363"/>
      <c r="G38" s="431"/>
      <c r="H38" s="573"/>
    </row>
    <row r="39" spans="1:8" ht="15" customHeight="1" x14ac:dyDescent="0.25">
      <c r="A39" s="403" t="s">
        <v>44</v>
      </c>
      <c r="B39" s="365"/>
      <c r="C39" s="404"/>
      <c r="D39" s="366"/>
      <c r="E39" s="406"/>
      <c r="F39" s="366"/>
      <c r="G39" s="405"/>
      <c r="H39" s="367"/>
    </row>
    <row r="40" spans="1:8" ht="15" customHeight="1" x14ac:dyDescent="0.25">
      <c r="A40" s="373" t="s">
        <v>45</v>
      </c>
      <c r="B40" s="352" t="s">
        <v>46</v>
      </c>
      <c r="C40" s="406"/>
      <c r="D40" s="369">
        <v>76250</v>
      </c>
      <c r="E40" s="406">
        <f>F40-D40</f>
        <v>223750</v>
      </c>
      <c r="F40" s="369">
        <v>300000</v>
      </c>
      <c r="G40" s="408">
        <v>300000</v>
      </c>
      <c r="H40" s="367"/>
    </row>
    <row r="41" spans="1:8" ht="15" customHeight="1" x14ac:dyDescent="0.25">
      <c r="A41" s="403" t="s">
        <v>47</v>
      </c>
      <c r="B41" s="365"/>
      <c r="C41" s="404"/>
      <c r="D41" s="366"/>
      <c r="E41" s="406"/>
      <c r="F41" s="366"/>
      <c r="G41" s="405"/>
      <c r="H41" s="367"/>
    </row>
    <row r="42" spans="1:8" ht="15" customHeight="1" x14ac:dyDescent="0.25">
      <c r="A42" s="373" t="s">
        <v>48</v>
      </c>
      <c r="B42" s="352" t="s">
        <v>49</v>
      </c>
      <c r="C42" s="406"/>
      <c r="D42" s="369">
        <v>40000</v>
      </c>
      <c r="E42" s="406">
        <f>F42-D42</f>
        <v>260000</v>
      </c>
      <c r="F42" s="369">
        <v>300000</v>
      </c>
      <c r="G42" s="408">
        <v>300000</v>
      </c>
      <c r="H42" s="367"/>
    </row>
    <row r="43" spans="1:8" ht="15" customHeight="1" x14ac:dyDescent="0.25">
      <c r="A43" s="403" t="s">
        <v>50</v>
      </c>
      <c r="B43" s="365"/>
      <c r="C43" s="404"/>
      <c r="D43" s="366"/>
      <c r="E43" s="406"/>
      <c r="F43" s="366"/>
      <c r="G43" s="405"/>
      <c r="H43" s="367"/>
    </row>
    <row r="44" spans="1:8" ht="15" customHeight="1" x14ac:dyDescent="0.25">
      <c r="A44" s="373" t="s">
        <v>51</v>
      </c>
      <c r="B44" s="352" t="s">
        <v>52</v>
      </c>
      <c r="C44" s="406">
        <v>447675.12</v>
      </c>
      <c r="D44" s="369">
        <v>99750</v>
      </c>
      <c r="E44" s="406">
        <f>F44-D44</f>
        <v>550250</v>
      </c>
      <c r="F44" s="369">
        <v>650000</v>
      </c>
      <c r="G44" s="408">
        <v>650000</v>
      </c>
      <c r="H44" s="367"/>
    </row>
    <row r="45" spans="1:8" ht="15" customHeight="1" x14ac:dyDescent="0.25">
      <c r="A45" s="373" t="s">
        <v>53</v>
      </c>
      <c r="B45" s="352" t="s">
        <v>54</v>
      </c>
      <c r="C45" s="406">
        <v>128781.84</v>
      </c>
      <c r="D45" s="369">
        <v>91532.58</v>
      </c>
      <c r="E45" s="406">
        <f>F45-D45</f>
        <v>208467.41999999998</v>
      </c>
      <c r="F45" s="369">
        <v>300000</v>
      </c>
      <c r="G45" s="408">
        <v>300000</v>
      </c>
      <c r="H45" s="367"/>
    </row>
    <row r="46" spans="1:8" ht="15" customHeight="1" x14ac:dyDescent="0.25">
      <c r="A46" s="403" t="s">
        <v>55</v>
      </c>
      <c r="B46" s="365"/>
      <c r="C46" s="404"/>
      <c r="D46" s="366"/>
      <c r="E46" s="406"/>
      <c r="F46" s="366"/>
      <c r="G46" s="405"/>
      <c r="H46" s="367"/>
    </row>
    <row r="47" spans="1:8" ht="15" customHeight="1" x14ac:dyDescent="0.25">
      <c r="A47" s="373" t="s">
        <v>56</v>
      </c>
      <c r="B47" s="352" t="s">
        <v>57</v>
      </c>
      <c r="C47" s="406">
        <v>8980</v>
      </c>
      <c r="D47" s="369">
        <v>2520</v>
      </c>
      <c r="E47" s="406">
        <f>F47-D47</f>
        <v>37480</v>
      </c>
      <c r="F47" s="369">
        <v>40000</v>
      </c>
      <c r="G47" s="408">
        <v>40000</v>
      </c>
      <c r="H47" s="367"/>
    </row>
    <row r="48" spans="1:8" ht="15" customHeight="1" x14ac:dyDescent="0.25">
      <c r="A48" s="403" t="s">
        <v>58</v>
      </c>
      <c r="B48" s="365"/>
      <c r="C48" s="404"/>
      <c r="D48" s="366"/>
      <c r="E48" s="406"/>
      <c r="F48" s="366"/>
      <c r="G48" s="405"/>
      <c r="H48" s="367"/>
    </row>
    <row r="49" spans="1:8" ht="15" customHeight="1" x14ac:dyDescent="0.25">
      <c r="A49" s="373" t="s">
        <v>61</v>
      </c>
      <c r="B49" s="352" t="s">
        <v>62</v>
      </c>
      <c r="C49" s="406"/>
      <c r="D49" s="369"/>
      <c r="E49" s="406"/>
      <c r="F49" s="369"/>
      <c r="G49" s="408"/>
      <c r="H49" s="367"/>
    </row>
    <row r="50" spans="1:8" ht="15" customHeight="1" x14ac:dyDescent="0.25">
      <c r="A50" s="373" t="s">
        <v>571</v>
      </c>
      <c r="B50" s="352" t="s">
        <v>64</v>
      </c>
      <c r="C50" s="578">
        <v>49353.75</v>
      </c>
      <c r="D50" s="391">
        <v>24292.65</v>
      </c>
      <c r="E50" s="406">
        <f>F50-D50</f>
        <v>75707.350000000006</v>
      </c>
      <c r="F50" s="391">
        <v>100000</v>
      </c>
      <c r="G50" s="559">
        <v>70000</v>
      </c>
      <c r="H50" s="367"/>
    </row>
    <row r="51" spans="1:8" ht="15" customHeight="1" x14ac:dyDescent="0.25">
      <c r="A51" s="403" t="s">
        <v>79</v>
      </c>
      <c r="B51" s="365"/>
      <c r="C51" s="404"/>
      <c r="D51" s="366"/>
      <c r="E51" s="406"/>
      <c r="F51" s="366"/>
      <c r="G51" s="405"/>
      <c r="H51" s="367"/>
    </row>
    <row r="52" spans="1:8" ht="15" customHeight="1" x14ac:dyDescent="0.25">
      <c r="A52" s="373" t="s">
        <v>80</v>
      </c>
      <c r="B52" s="352" t="s">
        <v>81</v>
      </c>
      <c r="C52" s="406"/>
      <c r="D52" s="369"/>
      <c r="E52" s="406"/>
      <c r="F52" s="369"/>
      <c r="G52" s="408"/>
      <c r="H52" s="367"/>
    </row>
    <row r="53" spans="1:8" ht="15" customHeight="1" x14ac:dyDescent="0.25">
      <c r="A53" s="403" t="s">
        <v>82</v>
      </c>
      <c r="B53" s="365"/>
      <c r="C53" s="404"/>
      <c r="D53" s="366"/>
      <c r="E53" s="406"/>
      <c r="F53" s="366"/>
      <c r="G53" s="405"/>
      <c r="H53" s="367"/>
    </row>
    <row r="54" spans="1:8" ht="30" customHeight="1" x14ac:dyDescent="0.25">
      <c r="A54" s="373" t="s">
        <v>120</v>
      </c>
      <c r="B54" s="352" t="s">
        <v>119</v>
      </c>
      <c r="C54" s="406"/>
      <c r="D54" s="369"/>
      <c r="E54" s="406">
        <f t="shared" ref="E54:E55" si="4">F54-D54</f>
        <v>100000</v>
      </c>
      <c r="F54" s="369">
        <v>100000</v>
      </c>
      <c r="G54" s="408">
        <v>100000</v>
      </c>
      <c r="H54" s="367"/>
    </row>
    <row r="55" spans="1:8" ht="30" customHeight="1" x14ac:dyDescent="0.25">
      <c r="A55" s="472" t="s">
        <v>118</v>
      </c>
      <c r="B55" s="442" t="s">
        <v>117</v>
      </c>
      <c r="C55" s="443">
        <v>58300</v>
      </c>
      <c r="D55" s="444"/>
      <c r="E55" s="443">
        <f t="shared" si="4"/>
        <v>100000</v>
      </c>
      <c r="F55" s="444">
        <v>100000</v>
      </c>
      <c r="G55" s="387">
        <v>100000</v>
      </c>
      <c r="H55" s="375"/>
    </row>
    <row r="56" spans="1:8" ht="15" customHeight="1" x14ac:dyDescent="0.25">
      <c r="A56" s="403" t="s">
        <v>42</v>
      </c>
      <c r="B56" s="365"/>
      <c r="C56" s="404"/>
      <c r="D56" s="366"/>
      <c r="E56" s="404"/>
      <c r="F56" s="366"/>
      <c r="G56" s="405"/>
      <c r="H56" s="375"/>
    </row>
    <row r="57" spans="1:8" ht="15" customHeight="1" x14ac:dyDescent="0.25">
      <c r="A57" s="373" t="s">
        <v>40</v>
      </c>
      <c r="B57" s="433" t="s">
        <v>179</v>
      </c>
      <c r="C57" s="406"/>
      <c r="D57" s="369"/>
      <c r="E57" s="406"/>
      <c r="F57" s="369">
        <v>100000</v>
      </c>
      <c r="G57" s="408"/>
      <c r="H57" s="605"/>
    </row>
    <row r="58" spans="1:8" ht="15" customHeight="1" x14ac:dyDescent="0.25">
      <c r="A58" s="373" t="s">
        <v>42</v>
      </c>
      <c r="B58" s="433" t="s">
        <v>176</v>
      </c>
      <c r="C58" s="406">
        <v>209600</v>
      </c>
      <c r="D58" s="369"/>
      <c r="E58" s="406">
        <f>F58-D58</f>
        <v>0</v>
      </c>
      <c r="F58" s="369"/>
      <c r="G58" s="408"/>
      <c r="H58" s="605"/>
    </row>
    <row r="59" spans="1:8" ht="15" customHeight="1" x14ac:dyDescent="0.25">
      <c r="A59" s="836" t="s">
        <v>917</v>
      </c>
      <c r="B59" s="433"/>
      <c r="C59" s="406"/>
      <c r="D59" s="369"/>
      <c r="E59" s="406"/>
      <c r="F59" s="369">
        <v>250000</v>
      </c>
      <c r="G59" s="408">
        <v>256000</v>
      </c>
      <c r="H59" s="375"/>
    </row>
    <row r="60" spans="1:8" ht="24" customHeight="1" x14ac:dyDescent="0.25">
      <c r="A60" s="434" t="s">
        <v>860</v>
      </c>
      <c r="B60" s="433"/>
      <c r="C60" s="406"/>
      <c r="D60" s="369">
        <v>50000</v>
      </c>
      <c r="E60" s="406">
        <f>F60-D60</f>
        <v>50000</v>
      </c>
      <c r="F60" s="369">
        <v>100000</v>
      </c>
      <c r="G60" s="408">
        <v>70000</v>
      </c>
      <c r="H60" s="375"/>
    </row>
    <row r="61" spans="1:8" ht="30" customHeight="1" x14ac:dyDescent="0.25">
      <c r="A61" s="434" t="s">
        <v>696</v>
      </c>
      <c r="B61" s="433"/>
      <c r="C61" s="406"/>
      <c r="D61" s="369">
        <v>74999</v>
      </c>
      <c r="E61" s="406"/>
      <c r="F61" s="369">
        <v>100000</v>
      </c>
      <c r="G61" s="408"/>
      <c r="H61" s="375"/>
    </row>
    <row r="62" spans="1:8" ht="30" customHeight="1" x14ac:dyDescent="0.25">
      <c r="A62" s="434" t="s">
        <v>697</v>
      </c>
      <c r="B62" s="433"/>
      <c r="C62" s="406"/>
      <c r="D62" s="369">
        <v>15000</v>
      </c>
      <c r="E62" s="406"/>
      <c r="F62" s="369">
        <v>15000</v>
      </c>
      <c r="G62" s="408"/>
      <c r="H62" s="375"/>
    </row>
    <row r="63" spans="1:8" ht="30" customHeight="1" x14ac:dyDescent="0.25">
      <c r="A63" s="602" t="s">
        <v>86</v>
      </c>
      <c r="B63" s="603"/>
      <c r="C63" s="604">
        <f>SUM(C38:C62)</f>
        <v>902690.71</v>
      </c>
      <c r="D63" s="604">
        <f>SUM(D38:D62)</f>
        <v>474344.23000000004</v>
      </c>
      <c r="E63" s="604">
        <f>SUM(E38:E62)</f>
        <v>1605654.77</v>
      </c>
      <c r="F63" s="604">
        <f>SUM(F38:F62)</f>
        <v>2455000</v>
      </c>
      <c r="G63" s="604">
        <f>SUM(G38:G62)</f>
        <v>2186000</v>
      </c>
      <c r="H63" s="786">
        <v>2186000</v>
      </c>
    </row>
    <row r="64" spans="1:8" ht="15" customHeight="1" x14ac:dyDescent="0.25">
      <c r="A64" s="429" t="s">
        <v>88</v>
      </c>
      <c r="B64" s="362"/>
      <c r="C64" s="430"/>
      <c r="D64" s="363"/>
      <c r="E64" s="430"/>
      <c r="F64" s="363"/>
      <c r="G64" s="431"/>
      <c r="H64" s="367"/>
    </row>
    <row r="65" spans="1:8" ht="15" customHeight="1" x14ac:dyDescent="0.25">
      <c r="A65" s="403" t="s">
        <v>92</v>
      </c>
      <c r="B65" s="365"/>
      <c r="C65" s="404"/>
      <c r="D65" s="366"/>
      <c r="E65" s="404"/>
      <c r="F65" s="366"/>
      <c r="G65" s="405"/>
      <c r="H65" s="367"/>
    </row>
    <row r="66" spans="1:8" ht="15" customHeight="1" x14ac:dyDescent="0.25">
      <c r="A66" s="373" t="s">
        <v>95</v>
      </c>
      <c r="B66" s="352" t="s">
        <v>96</v>
      </c>
      <c r="C66" s="406"/>
      <c r="D66" s="369"/>
      <c r="E66" s="406"/>
      <c r="F66" s="369"/>
      <c r="G66" s="408"/>
      <c r="H66" s="367"/>
    </row>
    <row r="67" spans="1:8" ht="15" customHeight="1" x14ac:dyDescent="0.25">
      <c r="A67" s="607" t="s">
        <v>611</v>
      </c>
      <c r="B67" s="442"/>
      <c r="C67" s="443">
        <v>96500</v>
      </c>
      <c r="D67" s="444"/>
      <c r="E67" s="443">
        <f>F67-D67</f>
        <v>0</v>
      </c>
      <c r="F67" s="444"/>
      <c r="G67" s="387"/>
      <c r="H67" s="367"/>
    </row>
    <row r="68" spans="1:8" ht="15" customHeight="1" x14ac:dyDescent="0.25">
      <c r="A68" s="607" t="s">
        <v>698</v>
      </c>
      <c r="B68" s="442"/>
      <c r="C68" s="443"/>
      <c r="D68" s="444"/>
      <c r="E68" s="443"/>
      <c r="F68" s="444">
        <v>30000</v>
      </c>
      <c r="G68" s="387"/>
      <c r="H68" s="367"/>
    </row>
    <row r="69" spans="1:8" ht="15" customHeight="1" x14ac:dyDescent="0.25">
      <c r="A69" s="607" t="s">
        <v>699</v>
      </c>
      <c r="B69" s="442"/>
      <c r="C69" s="443"/>
      <c r="D69" s="444"/>
      <c r="E69" s="443"/>
      <c r="F69" s="444">
        <v>50000</v>
      </c>
      <c r="G69" s="387"/>
      <c r="H69" s="367"/>
    </row>
    <row r="70" spans="1:8" ht="15" customHeight="1" x14ac:dyDescent="0.25">
      <c r="A70" s="607" t="s">
        <v>700</v>
      </c>
      <c r="B70" s="442"/>
      <c r="C70" s="443"/>
      <c r="D70" s="444"/>
      <c r="E70" s="443"/>
      <c r="F70" s="444">
        <v>30000</v>
      </c>
      <c r="G70" s="387"/>
      <c r="H70" s="367"/>
    </row>
    <row r="71" spans="1:8" ht="15" customHeight="1" x14ac:dyDescent="0.25">
      <c r="A71" s="607" t="s">
        <v>701</v>
      </c>
      <c r="B71" s="442"/>
      <c r="C71" s="443"/>
      <c r="D71" s="444"/>
      <c r="E71" s="443"/>
      <c r="F71" s="444">
        <v>100000</v>
      </c>
      <c r="G71" s="387"/>
      <c r="H71" s="367"/>
    </row>
    <row r="72" spans="1:8" ht="25.5" x14ac:dyDescent="0.25">
      <c r="A72" s="731" t="s">
        <v>794</v>
      </c>
      <c r="B72" s="442"/>
      <c r="C72" s="443"/>
      <c r="D72" s="444"/>
      <c r="E72" s="443"/>
      <c r="F72" s="444">
        <v>100000</v>
      </c>
      <c r="G72" s="387"/>
      <c r="H72" s="367"/>
    </row>
    <row r="73" spans="1:8" x14ac:dyDescent="0.25">
      <c r="A73" s="608" t="s">
        <v>612</v>
      </c>
      <c r="B73" s="352"/>
      <c r="C73" s="609"/>
      <c r="D73" s="451">
        <v>48549.15</v>
      </c>
      <c r="E73" s="695">
        <f>F73-D73</f>
        <v>51450.85</v>
      </c>
      <c r="F73" s="451">
        <v>100000</v>
      </c>
      <c r="G73" s="610"/>
      <c r="H73" s="367"/>
    </row>
    <row r="74" spans="1:8" ht="25.5" x14ac:dyDescent="0.25">
      <c r="A74" s="373" t="s">
        <v>97</v>
      </c>
      <c r="B74" s="352" t="s">
        <v>98</v>
      </c>
      <c r="C74" s="406">
        <v>56711</v>
      </c>
      <c r="D74" s="369"/>
      <c r="E74" s="406"/>
      <c r="F74" s="369"/>
      <c r="G74" s="408"/>
      <c r="H74" s="367"/>
    </row>
    <row r="75" spans="1:8" x14ac:dyDescent="0.25">
      <c r="A75" s="403" t="s">
        <v>101</v>
      </c>
      <c r="B75" s="365"/>
      <c r="C75" s="609"/>
      <c r="D75" s="448"/>
      <c r="E75" s="695"/>
      <c r="F75" s="448"/>
      <c r="G75" s="610"/>
      <c r="H75" s="367"/>
    </row>
    <row r="76" spans="1:8" x14ac:dyDescent="0.25">
      <c r="A76" s="373" t="s">
        <v>102</v>
      </c>
      <c r="B76" s="352" t="s">
        <v>103</v>
      </c>
      <c r="C76" s="609"/>
      <c r="D76" s="448"/>
      <c r="E76" s="695"/>
      <c r="F76" s="448"/>
      <c r="G76" s="610"/>
      <c r="H76" s="367"/>
    </row>
    <row r="77" spans="1:8" x14ac:dyDescent="0.25">
      <c r="A77" s="608" t="s">
        <v>613</v>
      </c>
      <c r="B77" s="352"/>
      <c r="C77" s="609">
        <v>232800</v>
      </c>
      <c r="D77" s="451"/>
      <c r="E77" s="695">
        <f>F77-D77</f>
        <v>0</v>
      </c>
      <c r="F77" s="451"/>
      <c r="G77" s="610"/>
      <c r="H77" s="367"/>
    </row>
    <row r="78" spans="1:8" ht="15" customHeight="1" x14ac:dyDescent="0.25">
      <c r="A78" s="403" t="s">
        <v>92</v>
      </c>
      <c r="B78" s="365"/>
      <c r="C78" s="404"/>
      <c r="D78" s="366"/>
      <c r="E78" s="404"/>
      <c r="F78" s="366"/>
      <c r="G78" s="405"/>
      <c r="H78" s="367"/>
    </row>
    <row r="79" spans="1:8" ht="15" customHeight="1" x14ac:dyDescent="0.25">
      <c r="A79" s="373" t="s">
        <v>726</v>
      </c>
      <c r="B79" s="352" t="s">
        <v>106</v>
      </c>
      <c r="C79" s="406"/>
      <c r="D79" s="369"/>
      <c r="E79" s="406"/>
      <c r="F79" s="369"/>
      <c r="G79" s="408"/>
      <c r="H79" s="367"/>
    </row>
    <row r="80" spans="1:8" x14ac:dyDescent="0.25">
      <c r="A80" s="608" t="s">
        <v>777</v>
      </c>
      <c r="B80" s="352"/>
      <c r="C80" s="609"/>
      <c r="D80" s="451"/>
      <c r="E80" s="695"/>
      <c r="F80" s="451">
        <v>50000</v>
      </c>
      <c r="G80" s="408"/>
      <c r="H80" s="367"/>
    </row>
    <row r="81" spans="1:8" ht="15" customHeight="1" x14ac:dyDescent="0.25">
      <c r="A81" s="608" t="s">
        <v>776</v>
      </c>
      <c r="B81" s="352"/>
      <c r="C81" s="609"/>
      <c r="D81" s="451"/>
      <c r="E81" s="695"/>
      <c r="F81" s="451">
        <v>50000</v>
      </c>
      <c r="G81" s="408"/>
      <c r="H81" s="367"/>
    </row>
    <row r="82" spans="1:8" ht="15" customHeight="1" x14ac:dyDescent="0.25">
      <c r="A82" s="721" t="s">
        <v>711</v>
      </c>
      <c r="B82" s="479" t="s">
        <v>710</v>
      </c>
      <c r="C82" s="722"/>
      <c r="D82" s="381"/>
      <c r="E82" s="722"/>
      <c r="F82" s="381"/>
      <c r="G82" s="579"/>
      <c r="H82" s="367"/>
    </row>
    <row r="83" spans="1:8" ht="45" customHeight="1" x14ac:dyDescent="0.25">
      <c r="A83" s="720" t="s">
        <v>775</v>
      </c>
      <c r="B83" s="442"/>
      <c r="C83" s="443"/>
      <c r="D83" s="444"/>
      <c r="E83" s="443"/>
      <c r="F83" s="444">
        <v>200000</v>
      </c>
      <c r="G83" s="387"/>
      <c r="H83" s="367"/>
    </row>
    <row r="84" spans="1:8" x14ac:dyDescent="0.25">
      <c r="A84" s="403" t="s">
        <v>109</v>
      </c>
      <c r="B84" s="365"/>
      <c r="C84" s="611"/>
      <c r="D84" s="530"/>
      <c r="E84" s="696"/>
      <c r="F84" s="530"/>
      <c r="G84" s="612"/>
      <c r="H84" s="367"/>
    </row>
    <row r="85" spans="1:8" x14ac:dyDescent="0.25">
      <c r="A85" s="472" t="s">
        <v>110</v>
      </c>
      <c r="B85" s="442" t="s">
        <v>111</v>
      </c>
      <c r="C85" s="611">
        <v>74000</v>
      </c>
      <c r="D85" s="530"/>
      <c r="E85" s="696"/>
      <c r="F85" s="530"/>
      <c r="G85" s="612"/>
      <c r="H85" s="367"/>
    </row>
    <row r="86" spans="1:8" ht="15" customHeight="1" x14ac:dyDescent="0.25">
      <c r="A86" s="837" t="s">
        <v>861</v>
      </c>
      <c r="B86" s="534"/>
      <c r="C86" s="800"/>
      <c r="D86" s="801"/>
      <c r="E86" s="802"/>
      <c r="F86" s="801"/>
      <c r="G86" s="803">
        <v>553795.51</v>
      </c>
      <c r="H86" s="367"/>
    </row>
    <row r="87" spans="1:8" ht="15" customHeight="1" x14ac:dyDescent="0.25">
      <c r="A87" s="602" t="s">
        <v>112</v>
      </c>
      <c r="B87" s="613"/>
      <c r="C87" s="604">
        <f>SUM(C64:C86)</f>
        <v>460011</v>
      </c>
      <c r="D87" s="604">
        <f>SUM(D64:D86)</f>
        <v>48549.15</v>
      </c>
      <c r="E87" s="604">
        <f>SUM(E64:E86)</f>
        <v>51450.85</v>
      </c>
      <c r="F87" s="604">
        <f>SUM(F64:F86)</f>
        <v>710000</v>
      </c>
      <c r="G87" s="604">
        <f>SUM(G64:G86)</f>
        <v>553795.51</v>
      </c>
      <c r="H87" s="786">
        <v>553795.51</v>
      </c>
    </row>
    <row r="88" spans="1:8" ht="15" customHeight="1" x14ac:dyDescent="0.25">
      <c r="A88" s="614" t="s">
        <v>113</v>
      </c>
      <c r="B88" s="615"/>
      <c r="C88" s="616">
        <f>C37+C63+C87</f>
        <v>15488121.170000002</v>
      </c>
      <c r="D88" s="616">
        <f>D37+D63+D87</f>
        <v>8182399.6800000006</v>
      </c>
      <c r="E88" s="616">
        <f>E37+E63+E87</f>
        <v>11698611.911999995</v>
      </c>
      <c r="F88" s="616">
        <f>F37+F63+F87</f>
        <v>20866012.591999993</v>
      </c>
      <c r="G88" s="616">
        <f>G37+G63+G87</f>
        <v>19948897.806000002</v>
      </c>
      <c r="H88" s="367"/>
    </row>
    <row r="89" spans="1:8" x14ac:dyDescent="0.25">
      <c r="A89" s="16"/>
      <c r="B89" s="16"/>
      <c r="C89" s="16"/>
      <c r="D89" s="16"/>
      <c r="E89" s="16"/>
      <c r="F89" s="16"/>
      <c r="G89" s="16"/>
      <c r="H89" s="617"/>
    </row>
    <row r="90" spans="1:8" x14ac:dyDescent="0.25">
      <c r="A90" s="16"/>
      <c r="B90" s="16"/>
      <c r="C90" s="16"/>
      <c r="D90" s="16"/>
      <c r="E90" s="16"/>
      <c r="F90" s="16"/>
      <c r="G90" s="16"/>
      <c r="H90" s="367"/>
    </row>
    <row r="91" spans="1:8" ht="38.25" customHeight="1" x14ac:dyDescent="0.25">
      <c r="A91" s="16"/>
      <c r="B91" s="16"/>
      <c r="C91" s="16"/>
      <c r="D91" s="16"/>
      <c r="E91" s="16"/>
      <c r="F91" s="16"/>
      <c r="G91" s="16"/>
      <c r="H91" s="367"/>
    </row>
    <row r="92" spans="1:8" x14ac:dyDescent="0.25">
      <c r="A92" s="16"/>
      <c r="B92" s="16"/>
      <c r="C92" s="16"/>
      <c r="D92" s="16"/>
      <c r="E92" s="16"/>
      <c r="F92" s="16"/>
      <c r="G92" s="16"/>
      <c r="H92" s="367"/>
    </row>
    <row r="93" spans="1:8" x14ac:dyDescent="0.25">
      <c r="A93" s="16"/>
      <c r="B93" s="16"/>
      <c r="C93" s="16"/>
      <c r="D93" s="16"/>
      <c r="E93" s="16"/>
      <c r="F93" s="16"/>
      <c r="G93" s="16"/>
      <c r="H93" s="367"/>
    </row>
    <row r="94" spans="1:8" x14ac:dyDescent="0.25">
      <c r="A94" s="16"/>
      <c r="B94" s="16"/>
      <c r="C94" s="16"/>
      <c r="D94" s="16"/>
      <c r="E94" s="16"/>
      <c r="F94" s="16"/>
      <c r="G94" s="16"/>
      <c r="H94" s="367"/>
    </row>
    <row r="95" spans="1:8" x14ac:dyDescent="0.25">
      <c r="A95" s="16"/>
      <c r="B95" s="16"/>
      <c r="C95" s="16"/>
      <c r="D95" s="16"/>
      <c r="E95" s="16"/>
      <c r="F95" s="16"/>
      <c r="G95" s="16"/>
      <c r="H95" s="367"/>
    </row>
    <row r="96" spans="1:8" x14ac:dyDescent="0.25">
      <c r="A96" s="16"/>
      <c r="B96" s="16"/>
      <c r="C96" s="16"/>
      <c r="D96" s="16"/>
      <c r="E96" s="16"/>
      <c r="F96" s="16"/>
      <c r="G96" s="16"/>
      <c r="H96" s="367"/>
    </row>
    <row r="97" spans="1:8" x14ac:dyDescent="0.25">
      <c r="A97" s="16"/>
      <c r="B97" s="16"/>
      <c r="C97" s="16"/>
      <c r="D97" s="16"/>
      <c r="E97" s="16"/>
      <c r="F97" s="16"/>
      <c r="G97" s="16"/>
      <c r="H97" s="367"/>
    </row>
    <row r="98" spans="1:8" x14ac:dyDescent="0.25">
      <c r="A98" s="16"/>
      <c r="B98" s="353"/>
      <c r="C98" s="16"/>
      <c r="D98" s="16"/>
      <c r="E98" s="16"/>
      <c r="F98" s="16"/>
      <c r="G98" s="16"/>
      <c r="H98" s="367"/>
    </row>
    <row r="99" spans="1:8" x14ac:dyDescent="0.25">
      <c r="A99" s="16"/>
      <c r="B99" s="16"/>
      <c r="C99" s="16"/>
      <c r="D99" s="16"/>
      <c r="E99" s="16"/>
      <c r="F99" s="16"/>
      <c r="G99" s="16"/>
      <c r="H99" s="367"/>
    </row>
    <row r="100" spans="1:8" x14ac:dyDescent="0.25">
      <c r="A100" s="16"/>
      <c r="B100" s="16"/>
      <c r="C100" s="16"/>
      <c r="D100" s="16"/>
      <c r="E100" s="16"/>
      <c r="F100" s="16"/>
      <c r="G100" s="16"/>
      <c r="H100" s="367"/>
    </row>
    <row r="101" spans="1:8" x14ac:dyDescent="0.25">
      <c r="A101" s="16"/>
      <c r="B101" s="16"/>
      <c r="C101" s="16"/>
      <c r="D101" s="16"/>
      <c r="E101" s="16"/>
      <c r="F101" s="16"/>
      <c r="G101" s="16"/>
      <c r="H101" s="367"/>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3" fitToHeight="0" orientation="portrait" horizontalDpi="360" verticalDpi="360" r:id="rId1"/>
  <headerFooter scaleWithDoc="0">
    <oddFooter>&amp;C&amp;"Candara,Regular"&amp;10Page &amp;"Candara,Bold"&amp;P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91"/>
  <sheetViews>
    <sheetView view="pageBreakPreview" topLeftCell="A2" zoomScale="130" zoomScaleNormal="100" zoomScaleSheetLayoutView="130" workbookViewId="0">
      <pane xSplit="2" ySplit="8" topLeftCell="C40" activePane="bottomRight" state="frozen"/>
      <selection activeCell="C40" sqref="C40"/>
      <selection pane="topRight" activeCell="C40" sqref="C40"/>
      <selection pane="bottomLeft" activeCell="C40" sqref="C40"/>
      <selection pane="bottomRight" activeCell="I47" sqref="I47"/>
    </sheetView>
  </sheetViews>
  <sheetFormatPr defaultColWidth="9.140625" defaultRowHeight="15" x14ac:dyDescent="0.25"/>
  <cols>
    <col min="1" max="1" width="37.7109375" style="41" customWidth="1"/>
    <col min="2" max="2" width="12.7109375" style="41" customWidth="1"/>
    <col min="3" max="7" width="14.7109375" style="41" customWidth="1"/>
    <col min="8" max="8" width="14.140625" style="279" bestFit="1" customWidth="1"/>
    <col min="9" max="9" width="14.5703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114</v>
      </c>
      <c r="B4" s="1075"/>
      <c r="C4" s="1075"/>
      <c r="D4" s="1075"/>
      <c r="E4" s="1075"/>
      <c r="F4" s="1075"/>
      <c r="G4" s="1075"/>
    </row>
    <row r="6" spans="1:9" s="43" customFormat="1" ht="12" x14ac:dyDescent="0.2">
      <c r="A6" s="1099" t="s">
        <v>1</v>
      </c>
      <c r="B6" s="1099" t="s">
        <v>2</v>
      </c>
      <c r="C6" s="1099" t="s">
        <v>310</v>
      </c>
      <c r="D6" s="1100" t="s">
        <v>307</v>
      </c>
      <c r="E6" s="1100"/>
      <c r="F6" s="1100"/>
      <c r="G6" s="1099" t="s">
        <v>311</v>
      </c>
      <c r="H6" s="357"/>
      <c r="I6" s="1050"/>
    </row>
    <row r="7" spans="1:9" s="43" customFormat="1" ht="12" x14ac:dyDescent="0.2">
      <c r="A7" s="1099"/>
      <c r="B7" s="1099"/>
      <c r="C7" s="1099"/>
      <c r="D7" s="1100"/>
      <c r="E7" s="1100"/>
      <c r="F7" s="1100"/>
      <c r="G7" s="1099"/>
      <c r="H7" s="357"/>
      <c r="I7" s="1050"/>
    </row>
    <row r="8" spans="1:9" s="43" customFormat="1" ht="24" x14ac:dyDescent="0.2">
      <c r="A8" s="1099"/>
      <c r="B8" s="1099"/>
      <c r="C8" s="1099"/>
      <c r="D8" s="359" t="s">
        <v>308</v>
      </c>
      <c r="E8" s="359" t="s">
        <v>309</v>
      </c>
      <c r="F8" s="359" t="s">
        <v>3</v>
      </c>
      <c r="G8" s="1099"/>
      <c r="H8" s="357"/>
      <c r="I8" s="1050"/>
    </row>
    <row r="9" spans="1:9" s="70" customFormat="1" ht="11.25" x14ac:dyDescent="0.25">
      <c r="A9" s="360">
        <v>1</v>
      </c>
      <c r="B9" s="360">
        <v>2</v>
      </c>
      <c r="C9" s="360">
        <v>3</v>
      </c>
      <c r="D9" s="360">
        <v>4</v>
      </c>
      <c r="E9" s="360">
        <v>5</v>
      </c>
      <c r="F9" s="360">
        <v>6</v>
      </c>
      <c r="G9" s="360">
        <v>7</v>
      </c>
      <c r="H9" s="567" t="s">
        <v>497</v>
      </c>
      <c r="I9" s="1051"/>
    </row>
    <row r="10" spans="1:9" x14ac:dyDescent="0.25">
      <c r="A10" s="429" t="s">
        <v>4</v>
      </c>
      <c r="B10" s="362"/>
      <c r="C10" s="597"/>
      <c r="D10" s="362"/>
      <c r="E10" s="597"/>
      <c r="F10" s="362"/>
      <c r="G10" s="598"/>
      <c r="H10" s="17">
        <v>6</v>
      </c>
      <c r="I10" s="402"/>
    </row>
    <row r="11" spans="1:9" x14ac:dyDescent="0.25">
      <c r="A11" s="403" t="s">
        <v>562</v>
      </c>
      <c r="B11" s="365"/>
      <c r="C11" s="404"/>
      <c r="D11" s="366"/>
      <c r="E11" s="404"/>
      <c r="F11" s="366"/>
      <c r="G11" s="405"/>
      <c r="H11" s="367"/>
      <c r="I11" s="402"/>
    </row>
    <row r="12" spans="1:9" x14ac:dyDescent="0.25">
      <c r="A12" s="373" t="str">
        <f>"Salaries and Wages - Regular (" &amp; H10 &amp; ")"</f>
        <v>Salaries and Wages - Regular (6)</v>
      </c>
      <c r="B12" s="352" t="s">
        <v>6</v>
      </c>
      <c r="C12" s="406">
        <v>1451482.23</v>
      </c>
      <c r="D12" s="369">
        <v>783145</v>
      </c>
      <c r="E12" s="406">
        <f>F12-D12</f>
        <v>1301940.2000000002</v>
      </c>
      <c r="F12" s="369">
        <v>2085085.2000000002</v>
      </c>
      <c r="G12" s="408">
        <f>H12+I12</f>
        <v>2160366.7999999998</v>
      </c>
      <c r="H12" s="569">
        <v>2088366.8</v>
      </c>
      <c r="I12" s="402">
        <f>I14/2</f>
        <v>72000</v>
      </c>
    </row>
    <row r="13" spans="1:9" x14ac:dyDescent="0.25">
      <c r="A13" s="403" t="s">
        <v>7</v>
      </c>
      <c r="B13" s="365"/>
      <c r="C13" s="404"/>
      <c r="D13" s="366"/>
      <c r="E13" s="404"/>
      <c r="F13" s="366"/>
      <c r="G13" s="405"/>
      <c r="H13" s="367"/>
      <c r="I13" s="402"/>
    </row>
    <row r="14" spans="1:9" ht="15" customHeight="1" x14ac:dyDescent="0.25">
      <c r="A14" s="373" t="s">
        <v>8</v>
      </c>
      <c r="B14" s="352" t="s">
        <v>9</v>
      </c>
      <c r="C14" s="406">
        <v>82000</v>
      </c>
      <c r="D14" s="369">
        <v>48000</v>
      </c>
      <c r="E14" s="406">
        <f t="shared" ref="E14:E24" si="0">F14-D14</f>
        <v>72000</v>
      </c>
      <c r="F14" s="369">
        <v>120000</v>
      </c>
      <c r="G14" s="408">
        <f>param_pera*ADMIN_PLATILLA_ITEMS*12</f>
        <v>144000</v>
      </c>
      <c r="H14" s="372"/>
      <c r="I14" s="402">
        <v>144000</v>
      </c>
    </row>
    <row r="15" spans="1:9" ht="15" customHeight="1" x14ac:dyDescent="0.25">
      <c r="A15" s="373" t="s">
        <v>11</v>
      </c>
      <c r="B15" s="352" t="s">
        <v>12</v>
      </c>
      <c r="C15" s="406">
        <v>81000</v>
      </c>
      <c r="D15" s="369">
        <v>40500</v>
      </c>
      <c r="E15" s="406">
        <f t="shared" si="0"/>
        <v>40500</v>
      </c>
      <c r="F15" s="369">
        <v>81000</v>
      </c>
      <c r="G15" s="369">
        <f>H15*12</f>
        <v>81000</v>
      </c>
      <c r="H15" s="372">
        <v>6750</v>
      </c>
      <c r="I15" s="402"/>
    </row>
    <row r="16" spans="1:9" ht="15" customHeight="1" x14ac:dyDescent="0.25">
      <c r="A16" s="373" t="s">
        <v>13</v>
      </c>
      <c r="B16" s="352" t="s">
        <v>14</v>
      </c>
      <c r="C16" s="406">
        <v>81000</v>
      </c>
      <c r="D16" s="369">
        <v>40500</v>
      </c>
      <c r="E16" s="406">
        <f t="shared" si="0"/>
        <v>40500</v>
      </c>
      <c r="F16" s="369">
        <v>81000</v>
      </c>
      <c r="G16" s="369">
        <f>H16*12</f>
        <v>81000</v>
      </c>
      <c r="H16" s="372">
        <v>6750</v>
      </c>
      <c r="I16" s="402"/>
    </row>
    <row r="17" spans="1:12" ht="15" customHeight="1" x14ac:dyDescent="0.25">
      <c r="A17" s="373" t="s">
        <v>15</v>
      </c>
      <c r="B17" s="352" t="s">
        <v>16</v>
      </c>
      <c r="C17" s="406">
        <v>18000</v>
      </c>
      <c r="D17" s="369">
        <v>24000</v>
      </c>
      <c r="E17" s="406">
        <f t="shared" si="0"/>
        <v>6000</v>
      </c>
      <c r="F17" s="369">
        <v>30000</v>
      </c>
      <c r="G17" s="369">
        <f>param_uniform*ADMIN_PLATILLA_ITEMS</f>
        <v>36000</v>
      </c>
      <c r="H17" s="372"/>
      <c r="I17" s="402"/>
    </row>
    <row r="18" spans="1:12" ht="15" customHeight="1" x14ac:dyDescent="0.25">
      <c r="A18" s="373" t="s">
        <v>17</v>
      </c>
      <c r="B18" s="352" t="s">
        <v>18</v>
      </c>
      <c r="C18" s="406">
        <v>116792</v>
      </c>
      <c r="D18" s="369"/>
      <c r="E18" s="406">
        <f t="shared" si="0"/>
        <v>173757.1</v>
      </c>
      <c r="F18" s="369">
        <v>173757.1</v>
      </c>
      <c r="G18" s="408">
        <f>H12/12+I18</f>
        <v>210030.56666666668</v>
      </c>
      <c r="H18" s="372"/>
      <c r="I18" s="402">
        <f>I14/4</f>
        <v>36000</v>
      </c>
    </row>
    <row r="19" spans="1:12" ht="15" customHeight="1" x14ac:dyDescent="0.25">
      <c r="A19" s="373" t="s">
        <v>19</v>
      </c>
      <c r="B19" s="352" t="s">
        <v>20</v>
      </c>
      <c r="C19" s="406">
        <v>16500</v>
      </c>
      <c r="D19" s="369"/>
      <c r="E19" s="406">
        <f t="shared" si="0"/>
        <v>25000</v>
      </c>
      <c r="F19" s="369">
        <v>25000</v>
      </c>
      <c r="G19" s="408">
        <f>ADMIN_PLATILLA_ITEMS*param_cash_gift</f>
        <v>30000</v>
      </c>
      <c r="H19" s="599"/>
      <c r="I19" s="402"/>
    </row>
    <row r="20" spans="1:12" x14ac:dyDescent="0.25">
      <c r="A20" s="403" t="s">
        <v>21</v>
      </c>
      <c r="B20" s="365"/>
      <c r="C20" s="404"/>
      <c r="D20" s="366"/>
      <c r="E20" s="406"/>
      <c r="F20" s="366"/>
      <c r="G20" s="405"/>
      <c r="H20" s="599"/>
      <c r="I20" s="402"/>
      <c r="L20" s="41" t="s">
        <v>610</v>
      </c>
    </row>
    <row r="21" spans="1:12" ht="15" customHeight="1" x14ac:dyDescent="0.25">
      <c r="A21" s="373" t="s">
        <v>22</v>
      </c>
      <c r="B21" s="352" t="s">
        <v>23</v>
      </c>
      <c r="C21" s="406">
        <v>174219.79</v>
      </c>
      <c r="D21" s="369">
        <v>94333.65</v>
      </c>
      <c r="E21" s="406">
        <f t="shared" si="0"/>
        <v>155876.57400000002</v>
      </c>
      <c r="F21" s="369">
        <v>250210.22400000002</v>
      </c>
      <c r="G21" s="408">
        <f>H12*12%</f>
        <v>250604.016</v>
      </c>
      <c r="H21" s="599"/>
      <c r="I21" s="402"/>
    </row>
    <row r="22" spans="1:12" ht="15" customHeight="1" x14ac:dyDescent="0.25">
      <c r="A22" s="373" t="s">
        <v>24</v>
      </c>
      <c r="B22" s="352" t="s">
        <v>25</v>
      </c>
      <c r="C22" s="406">
        <v>4100</v>
      </c>
      <c r="D22" s="369">
        <v>2400</v>
      </c>
      <c r="E22" s="406">
        <f t="shared" si="0"/>
        <v>6600</v>
      </c>
      <c r="F22" s="369">
        <v>9000</v>
      </c>
      <c r="G22" s="369">
        <f>param_pagibig*ADMIN_PLATILLA_ITEMS*12</f>
        <v>10800</v>
      </c>
      <c r="H22" s="599"/>
      <c r="I22" s="402"/>
    </row>
    <row r="23" spans="1:12" ht="15" customHeight="1" x14ac:dyDescent="0.25">
      <c r="A23" s="373" t="s">
        <v>26</v>
      </c>
      <c r="B23" s="352" t="s">
        <v>27</v>
      </c>
      <c r="C23" s="406">
        <v>16483.71</v>
      </c>
      <c r="D23" s="369">
        <v>14412.8</v>
      </c>
      <c r="E23" s="406">
        <f t="shared" si="0"/>
        <v>30587.200000000001</v>
      </c>
      <c r="F23" s="369">
        <v>45000</v>
      </c>
      <c r="G23" s="369">
        <f>ROUND(H23+(H23*0.1), -1)</f>
        <v>40720</v>
      </c>
      <c r="H23" s="599">
        <v>37020</v>
      </c>
      <c r="I23" s="402"/>
    </row>
    <row r="24" spans="1:12" ht="15" customHeight="1" x14ac:dyDescent="0.25">
      <c r="A24" s="373" t="s">
        <v>28</v>
      </c>
      <c r="B24" s="352" t="s">
        <v>29</v>
      </c>
      <c r="C24" s="406">
        <v>4100</v>
      </c>
      <c r="D24" s="369">
        <v>2400</v>
      </c>
      <c r="E24" s="406">
        <f t="shared" si="0"/>
        <v>6600</v>
      </c>
      <c r="F24" s="369">
        <v>9000</v>
      </c>
      <c r="G24" s="369">
        <f>param_ecc*ADMIN_PLATILLA_ITEMS*12</f>
        <v>10800</v>
      </c>
      <c r="H24" s="599"/>
      <c r="I24" s="402"/>
    </row>
    <row r="25" spans="1:12" x14ac:dyDescent="0.25">
      <c r="A25" s="403" t="s">
        <v>30</v>
      </c>
      <c r="B25" s="365"/>
      <c r="C25" s="404"/>
      <c r="D25" s="366"/>
      <c r="E25" s="406"/>
      <c r="F25" s="366"/>
      <c r="G25" s="405"/>
      <c r="H25" s="599"/>
      <c r="I25" s="402"/>
    </row>
    <row r="26" spans="1:12" ht="15" customHeight="1" x14ac:dyDescent="0.25">
      <c r="A26" s="373" t="s">
        <v>30</v>
      </c>
      <c r="B26" s="352" t="s">
        <v>33</v>
      </c>
      <c r="C26" s="406"/>
      <c r="D26" s="369"/>
      <c r="E26" s="369"/>
      <c r="F26" s="369"/>
      <c r="G26" s="408"/>
      <c r="H26" s="694">
        <f>SUM(G26:G33)</f>
        <v>270030.56666666665</v>
      </c>
      <c r="I26" s="402"/>
    </row>
    <row r="27" spans="1:12" ht="15" customHeight="1" x14ac:dyDescent="0.25">
      <c r="A27" s="434" t="s">
        <v>332</v>
      </c>
      <c r="B27" s="352"/>
      <c r="C27" s="406">
        <v>116792</v>
      </c>
      <c r="D27" s="369">
        <v>131045</v>
      </c>
      <c r="E27" s="406">
        <f t="shared" ref="E27:E29" si="1">F27-D27</f>
        <v>42712.100000000006</v>
      </c>
      <c r="F27" s="369">
        <v>173757.1</v>
      </c>
      <c r="G27" s="408">
        <f>H12/12+I27</f>
        <v>210030.56666666668</v>
      </c>
      <c r="H27" s="599"/>
      <c r="I27" s="402">
        <f>I14/4</f>
        <v>36000</v>
      </c>
    </row>
    <row r="28" spans="1:12" ht="15" customHeight="1" x14ac:dyDescent="0.25">
      <c r="A28" s="434" t="s">
        <v>333</v>
      </c>
      <c r="B28" s="352"/>
      <c r="C28" s="406">
        <v>17500</v>
      </c>
      <c r="D28" s="369"/>
      <c r="E28" s="406">
        <f t="shared" si="1"/>
        <v>25000</v>
      </c>
      <c r="F28" s="369">
        <v>25000</v>
      </c>
      <c r="G28" s="369">
        <f>param_pei*ADMIN_PLATILLA_ITEMS</f>
        <v>30000</v>
      </c>
      <c r="H28" s="599"/>
      <c r="I28" s="402"/>
    </row>
    <row r="29" spans="1:12" ht="30" customHeight="1" x14ac:dyDescent="0.25">
      <c r="A29" s="434" t="s">
        <v>649</v>
      </c>
      <c r="B29" s="352"/>
      <c r="C29" s="406"/>
      <c r="D29" s="369"/>
      <c r="E29" s="406">
        <f t="shared" si="1"/>
        <v>25000</v>
      </c>
      <c r="F29" s="369">
        <v>25000</v>
      </c>
      <c r="G29" s="369">
        <f>param_pbb*ADMIN_PLATILLA_ITEMS</f>
        <v>30000</v>
      </c>
      <c r="H29" s="599"/>
      <c r="I29" s="402"/>
    </row>
    <row r="30" spans="1:12" ht="15" customHeight="1" x14ac:dyDescent="0.25">
      <c r="A30" s="434" t="s">
        <v>334</v>
      </c>
      <c r="B30" s="352"/>
      <c r="C30" s="406"/>
      <c r="D30" s="369"/>
      <c r="E30" s="406"/>
      <c r="F30" s="369"/>
      <c r="G30" s="408"/>
      <c r="H30" s="575"/>
      <c r="I30" s="402"/>
    </row>
    <row r="31" spans="1:12" ht="15" customHeight="1" x14ac:dyDescent="0.25">
      <c r="A31" s="513" t="s">
        <v>650</v>
      </c>
      <c r="B31" s="479"/>
      <c r="C31" s="381">
        <v>100000</v>
      </c>
      <c r="D31" s="381"/>
      <c r="E31" s="381"/>
      <c r="F31" s="381"/>
      <c r="G31" s="381"/>
      <c r="H31" s="375"/>
      <c r="I31" s="402"/>
    </row>
    <row r="32" spans="1:12" ht="15" customHeight="1" x14ac:dyDescent="0.25">
      <c r="A32" s="376" t="s">
        <v>652</v>
      </c>
      <c r="B32" s="352"/>
      <c r="C32" s="369"/>
      <c r="D32" s="369"/>
      <c r="E32" s="369"/>
      <c r="F32" s="369"/>
      <c r="G32" s="369"/>
      <c r="H32" s="375"/>
      <c r="I32" s="402"/>
    </row>
    <row r="33" spans="1:9" ht="15" customHeight="1" x14ac:dyDescent="0.25">
      <c r="A33" s="378" t="s">
        <v>653</v>
      </c>
      <c r="B33" s="379"/>
      <c r="C33" s="380">
        <v>34000</v>
      </c>
      <c r="D33" s="380"/>
      <c r="E33" s="381"/>
      <c r="F33" s="380"/>
      <c r="G33" s="380"/>
      <c r="H33" s="375"/>
      <c r="I33" s="402"/>
    </row>
    <row r="34" spans="1:9" s="44" customFormat="1" x14ac:dyDescent="0.25">
      <c r="A34" s="396" t="s">
        <v>34</v>
      </c>
      <c r="B34" s="397"/>
      <c r="C34" s="416">
        <f>SUM(C10:C33)</f>
        <v>2313969.73</v>
      </c>
      <c r="D34" s="416">
        <f t="shared" ref="D34:F34" si="2">SUM(D10:D33)</f>
        <v>1180736.4500000002</v>
      </c>
      <c r="E34" s="416">
        <f t="shared" si="2"/>
        <v>1952073.1740000003</v>
      </c>
      <c r="F34" s="416">
        <f t="shared" si="2"/>
        <v>3132809.6240000003</v>
      </c>
      <c r="G34" s="416">
        <f>SUM(G10:G33)</f>
        <v>3325351.9493333334</v>
      </c>
      <c r="H34" s="574"/>
      <c r="I34" s="400"/>
    </row>
    <row r="35" spans="1:9" ht="15" customHeight="1" x14ac:dyDescent="0.25">
      <c r="A35" s="429" t="s">
        <v>35</v>
      </c>
      <c r="B35" s="362"/>
      <c r="C35" s="430"/>
      <c r="D35" s="363"/>
      <c r="E35" s="430"/>
      <c r="F35" s="363"/>
      <c r="G35" s="431"/>
      <c r="H35" s="367"/>
      <c r="I35" s="402"/>
    </row>
    <row r="36" spans="1:9" ht="15" customHeight="1" x14ac:dyDescent="0.25">
      <c r="A36" s="403" t="s">
        <v>55</v>
      </c>
      <c r="B36" s="365"/>
      <c r="C36" s="404"/>
      <c r="D36" s="366"/>
      <c r="E36" s="404"/>
      <c r="F36" s="366"/>
      <c r="G36" s="366"/>
      <c r="H36" s="367"/>
      <c r="I36" s="402"/>
    </row>
    <row r="37" spans="1:9" ht="15" customHeight="1" x14ac:dyDescent="0.25">
      <c r="A37" s="373" t="s">
        <v>56</v>
      </c>
      <c r="B37" s="352" t="s">
        <v>57</v>
      </c>
      <c r="C37" s="406">
        <v>1920</v>
      </c>
      <c r="D37" s="369"/>
      <c r="E37" s="406">
        <f t="shared" ref="E37" si="3">F37-D37</f>
        <v>3000</v>
      </c>
      <c r="F37" s="369">
        <v>3000</v>
      </c>
      <c r="G37" s="369">
        <v>3000</v>
      </c>
      <c r="H37" s="367"/>
      <c r="I37" s="402"/>
    </row>
    <row r="38" spans="1:9" ht="15" customHeight="1" x14ac:dyDescent="0.25">
      <c r="A38" s="403" t="s">
        <v>58</v>
      </c>
      <c r="B38" s="365"/>
      <c r="C38" s="404"/>
      <c r="D38" s="366"/>
      <c r="E38" s="404"/>
      <c r="F38" s="366"/>
      <c r="G38" s="366"/>
      <c r="H38" s="367"/>
      <c r="I38" s="402"/>
    </row>
    <row r="39" spans="1:9" ht="15" customHeight="1" x14ac:dyDescent="0.25">
      <c r="A39" s="373" t="s">
        <v>61</v>
      </c>
      <c r="B39" s="352" t="s">
        <v>62</v>
      </c>
      <c r="C39" s="406">
        <v>24000</v>
      </c>
      <c r="D39" s="369">
        <v>12000</v>
      </c>
      <c r="E39" s="406">
        <f t="shared" ref="E39:E40" si="4">F39-D39</f>
        <v>24000</v>
      </c>
      <c r="F39" s="369">
        <v>36000</v>
      </c>
      <c r="G39" s="369">
        <v>36000</v>
      </c>
      <c r="H39" s="392"/>
      <c r="I39" s="402"/>
    </row>
    <row r="40" spans="1:9" ht="15" customHeight="1" x14ac:dyDescent="0.25">
      <c r="A40" s="373" t="s">
        <v>63</v>
      </c>
      <c r="B40" s="352" t="s">
        <v>64</v>
      </c>
      <c r="C40" s="406">
        <v>20000</v>
      </c>
      <c r="D40" s="369"/>
      <c r="E40" s="406">
        <f t="shared" si="4"/>
        <v>36000</v>
      </c>
      <c r="F40" s="369">
        <v>36000</v>
      </c>
      <c r="G40" s="369">
        <v>36000</v>
      </c>
      <c r="H40" s="367"/>
      <c r="I40" s="402"/>
    </row>
    <row r="41" spans="1:9" ht="15" customHeight="1" x14ac:dyDescent="0.25">
      <c r="A41" s="403" t="s">
        <v>79</v>
      </c>
      <c r="B41" s="365"/>
      <c r="C41" s="404"/>
      <c r="D41" s="366"/>
      <c r="E41" s="404"/>
      <c r="F41" s="366"/>
      <c r="G41" s="366"/>
      <c r="H41" s="367"/>
      <c r="I41" s="402"/>
    </row>
    <row r="42" spans="1:9" ht="15" customHeight="1" x14ac:dyDescent="0.25">
      <c r="A42" s="373" t="s">
        <v>80</v>
      </c>
      <c r="B42" s="352" t="s">
        <v>81</v>
      </c>
      <c r="C42" s="406">
        <v>2887635</v>
      </c>
      <c r="D42" s="369">
        <v>831350</v>
      </c>
      <c r="E42" s="406">
        <f t="shared" ref="E42" si="5">F42-D42</f>
        <v>2368650</v>
      </c>
      <c r="F42" s="369">
        <v>3200000</v>
      </c>
      <c r="G42" s="369">
        <v>3200000</v>
      </c>
      <c r="H42" s="367"/>
      <c r="I42" s="402"/>
    </row>
    <row r="43" spans="1:9" ht="15" customHeight="1" x14ac:dyDescent="0.25">
      <c r="A43" s="403" t="s">
        <v>42</v>
      </c>
      <c r="B43" s="365"/>
      <c r="C43" s="404"/>
      <c r="D43" s="366"/>
      <c r="E43" s="404"/>
      <c r="F43" s="366"/>
      <c r="G43" s="405"/>
      <c r="H43" s="367"/>
      <c r="I43" s="402"/>
    </row>
    <row r="44" spans="1:9" ht="15" customHeight="1" x14ac:dyDescent="0.25">
      <c r="A44" s="373" t="s">
        <v>42</v>
      </c>
      <c r="B44" s="352" t="s">
        <v>176</v>
      </c>
      <c r="C44" s="406"/>
      <c r="D44" s="369"/>
      <c r="E44" s="406">
        <f t="shared" ref="E44" si="6">F44-D44</f>
        <v>50000</v>
      </c>
      <c r="F44" s="369">
        <v>50000</v>
      </c>
      <c r="G44" s="369">
        <v>31000</v>
      </c>
      <c r="H44" s="367"/>
      <c r="I44" s="402"/>
    </row>
    <row r="45" spans="1:9" s="44" customFormat="1" ht="30" customHeight="1" x14ac:dyDescent="0.25">
      <c r="A45" s="396" t="s">
        <v>86</v>
      </c>
      <c r="B45" s="397"/>
      <c r="C45" s="398">
        <f>SUM(C36:C44)</f>
        <v>2933555</v>
      </c>
      <c r="D45" s="398">
        <f>SUM(D36:D44)</f>
        <v>843350</v>
      </c>
      <c r="E45" s="398">
        <f>SUM(E36:E44)</f>
        <v>2481650</v>
      </c>
      <c r="F45" s="398">
        <f>SUM(F36:F44)</f>
        <v>3325000</v>
      </c>
      <c r="G45" s="398">
        <f>SUM(G36:G44)</f>
        <v>3306000</v>
      </c>
      <c r="H45" s="799">
        <v>3446000</v>
      </c>
      <c r="I45" s="400"/>
    </row>
    <row r="46" spans="1:9" x14ac:dyDescent="0.25">
      <c r="A46" s="429" t="s">
        <v>88</v>
      </c>
      <c r="B46" s="362"/>
      <c r="C46" s="430"/>
      <c r="D46" s="363"/>
      <c r="E46" s="430"/>
      <c r="F46" s="363"/>
      <c r="G46" s="431"/>
      <c r="H46" s="367"/>
      <c r="I46" s="402"/>
    </row>
    <row r="47" spans="1:9" s="44" customFormat="1" x14ac:dyDescent="0.25">
      <c r="A47" s="396" t="s">
        <v>112</v>
      </c>
      <c r="B47" s="436"/>
      <c r="C47" s="398">
        <f>SUM(C46:C46)</f>
        <v>0</v>
      </c>
      <c r="D47" s="398">
        <f>SUM(D46:D46)</f>
        <v>0</v>
      </c>
      <c r="E47" s="398">
        <f>SUM(E46:E46)</f>
        <v>0</v>
      </c>
      <c r="F47" s="398">
        <f>SUM(F46:F46)</f>
        <v>0</v>
      </c>
      <c r="G47" s="398">
        <f>SUM(G46)</f>
        <v>0</v>
      </c>
      <c r="H47" s="574"/>
      <c r="I47" s="400"/>
    </row>
    <row r="48" spans="1:9" s="53" customFormat="1" x14ac:dyDescent="0.25">
      <c r="A48" s="419" t="s">
        <v>113</v>
      </c>
      <c r="B48" s="547"/>
      <c r="C48" s="421">
        <f>C34+C45+C47</f>
        <v>5247524.7300000004</v>
      </c>
      <c r="D48" s="421">
        <f>D34+D45+D47</f>
        <v>2024086.4500000002</v>
      </c>
      <c r="E48" s="421">
        <f>E34+E45+E47</f>
        <v>4433723.1740000006</v>
      </c>
      <c r="F48" s="421">
        <f>F34+F45+F47</f>
        <v>6457809.6239999998</v>
      </c>
      <c r="G48" s="421">
        <f>G34+G45+G47</f>
        <v>6631351.9493333334</v>
      </c>
      <c r="H48" s="600"/>
      <c r="I48" s="1052"/>
    </row>
    <row r="49" spans="1:9" x14ac:dyDescent="0.25">
      <c r="A49" s="16"/>
      <c r="B49" s="16"/>
      <c r="C49" s="16"/>
      <c r="D49" s="16"/>
      <c r="E49" s="16"/>
      <c r="F49" s="371"/>
      <c r="G49" s="16"/>
      <c r="H49" s="367"/>
      <c r="I49" s="402"/>
    </row>
    <row r="50" spans="1:9" x14ac:dyDescent="0.25">
      <c r="A50" s="16"/>
      <c r="B50" s="16"/>
      <c r="C50" s="16"/>
      <c r="D50" s="16"/>
      <c r="E50" s="16"/>
      <c r="F50" s="16"/>
      <c r="G50" s="16"/>
      <c r="H50" s="367"/>
      <c r="I50" s="402"/>
    </row>
    <row r="51" spans="1:9" x14ac:dyDescent="0.25">
      <c r="A51" s="16"/>
      <c r="B51" s="16"/>
      <c r="C51" s="16"/>
      <c r="D51" s="16"/>
      <c r="E51" s="16"/>
      <c r="F51" s="16"/>
      <c r="G51" s="16"/>
      <c r="H51" s="367"/>
      <c r="I51" s="402"/>
    </row>
    <row r="52" spans="1:9" x14ac:dyDescent="0.25">
      <c r="A52" s="16"/>
      <c r="B52" s="16"/>
      <c r="C52" s="16"/>
      <c r="D52" s="16"/>
      <c r="E52" s="16"/>
      <c r="F52" s="16"/>
      <c r="G52" s="16"/>
      <c r="H52" s="367"/>
      <c r="I52" s="402"/>
    </row>
    <row r="53" spans="1:9" x14ac:dyDescent="0.25">
      <c r="A53" s="16"/>
      <c r="B53" s="16"/>
      <c r="C53" s="16">
        <v>322824.65999999997</v>
      </c>
      <c r="D53" s="16"/>
      <c r="E53" s="16"/>
      <c r="F53" s="16"/>
      <c r="G53" s="16"/>
      <c r="H53" s="367"/>
      <c r="I53" s="402"/>
    </row>
    <row r="54" spans="1:9" x14ac:dyDescent="0.25">
      <c r="A54" s="16"/>
      <c r="B54" s="16"/>
      <c r="C54" s="16"/>
      <c r="D54" s="16"/>
      <c r="E54" s="16"/>
      <c r="F54" s="16"/>
      <c r="G54" s="16"/>
      <c r="H54" s="367"/>
      <c r="I54" s="402"/>
    </row>
    <row r="55" spans="1:9" x14ac:dyDescent="0.25">
      <c r="A55" s="16"/>
      <c r="B55" s="16"/>
      <c r="C55" s="16"/>
      <c r="D55" s="16"/>
      <c r="E55" s="16"/>
      <c r="F55" s="16"/>
      <c r="G55" s="16"/>
      <c r="H55" s="367"/>
      <c r="I55" s="402"/>
    </row>
    <row r="56" spans="1:9" x14ac:dyDescent="0.25">
      <c r="A56" s="16"/>
      <c r="B56" s="16"/>
      <c r="C56" s="16"/>
      <c r="D56" s="16"/>
      <c r="E56" s="16"/>
      <c r="F56" s="16"/>
      <c r="G56" s="16"/>
      <c r="H56" s="367"/>
      <c r="I56" s="402"/>
    </row>
    <row r="57" spans="1:9" x14ac:dyDescent="0.25">
      <c r="A57" s="16"/>
      <c r="B57" s="16"/>
      <c r="C57" s="16"/>
      <c r="D57" s="16"/>
      <c r="E57" s="16"/>
      <c r="F57" s="16"/>
      <c r="G57" s="16"/>
      <c r="H57" s="367"/>
      <c r="I57" s="402"/>
    </row>
    <row r="58" spans="1:9" x14ac:dyDescent="0.25">
      <c r="A58" s="16"/>
      <c r="B58" s="16"/>
      <c r="C58" s="16"/>
      <c r="D58" s="16"/>
      <c r="E58" s="16"/>
      <c r="F58" s="16"/>
      <c r="G58" s="16"/>
      <c r="H58" s="367"/>
      <c r="I58" s="402"/>
    </row>
    <row r="59" spans="1:9" x14ac:dyDescent="0.25">
      <c r="A59" s="16"/>
      <c r="B59" s="16"/>
      <c r="C59" s="16"/>
      <c r="D59" s="16"/>
      <c r="E59" s="16"/>
      <c r="F59" s="16"/>
      <c r="G59" s="16"/>
      <c r="H59" s="367"/>
      <c r="I59" s="402"/>
    </row>
    <row r="60" spans="1:9" x14ac:dyDescent="0.25">
      <c r="A60" s="16"/>
      <c r="B60" s="16"/>
      <c r="C60" s="16"/>
      <c r="D60" s="16"/>
      <c r="E60" s="16"/>
      <c r="F60" s="16"/>
      <c r="G60" s="16"/>
      <c r="H60" s="367"/>
      <c r="I60" s="402"/>
    </row>
    <row r="61" spans="1:9" x14ac:dyDescent="0.25">
      <c r="A61" s="16"/>
      <c r="B61" s="16"/>
      <c r="C61" s="16"/>
      <c r="D61" s="16"/>
      <c r="E61" s="16"/>
      <c r="F61" s="16"/>
      <c r="G61" s="16"/>
      <c r="H61" s="367"/>
      <c r="I61" s="402"/>
    </row>
    <row r="62" spans="1:9" x14ac:dyDescent="0.25">
      <c r="A62" s="16"/>
      <c r="B62" s="16"/>
      <c r="C62" s="16"/>
      <c r="D62" s="16"/>
      <c r="E62" s="16"/>
      <c r="F62" s="16"/>
      <c r="G62" s="16"/>
      <c r="H62" s="367"/>
      <c r="I62" s="402"/>
    </row>
    <row r="63" spans="1:9" x14ac:dyDescent="0.25">
      <c r="A63" s="16"/>
      <c r="B63" s="16"/>
      <c r="C63" s="16"/>
      <c r="D63" s="16"/>
      <c r="E63" s="16"/>
      <c r="F63" s="16"/>
      <c r="G63" s="16"/>
      <c r="H63" s="367"/>
      <c r="I63" s="402"/>
    </row>
    <row r="64" spans="1:9" x14ac:dyDescent="0.25">
      <c r="A64" s="16"/>
      <c r="B64" s="16"/>
      <c r="C64" s="16"/>
      <c r="D64" s="16"/>
      <c r="E64" s="16"/>
      <c r="F64" s="16"/>
      <c r="G64" s="16"/>
      <c r="H64" s="367"/>
      <c r="I64" s="402"/>
    </row>
    <row r="65" spans="1:9" x14ac:dyDescent="0.25">
      <c r="A65" s="16"/>
      <c r="B65" s="16"/>
      <c r="C65" s="16"/>
      <c r="D65" s="16"/>
      <c r="E65" s="16"/>
      <c r="F65" s="16"/>
      <c r="G65" s="16"/>
      <c r="H65" s="367"/>
      <c r="I65" s="402"/>
    </row>
    <row r="66" spans="1:9" x14ac:dyDescent="0.25">
      <c r="A66" s="16"/>
      <c r="B66" s="16"/>
      <c r="C66" s="16"/>
      <c r="D66" s="16"/>
      <c r="E66" s="16"/>
      <c r="F66" s="16"/>
      <c r="G66" s="16"/>
      <c r="H66" s="367"/>
      <c r="I66" s="402"/>
    </row>
    <row r="67" spans="1:9" x14ac:dyDescent="0.25">
      <c r="A67" s="16"/>
      <c r="B67" s="16"/>
      <c r="C67" s="16"/>
      <c r="D67" s="16"/>
      <c r="E67" s="16"/>
      <c r="F67" s="16"/>
      <c r="G67" s="16"/>
      <c r="H67" s="367"/>
      <c r="I67" s="402"/>
    </row>
    <row r="68" spans="1:9" x14ac:dyDescent="0.25">
      <c r="A68" s="16"/>
      <c r="B68" s="16"/>
      <c r="C68" s="16"/>
      <c r="D68" s="16"/>
      <c r="E68" s="16"/>
      <c r="F68" s="16"/>
      <c r="G68" s="16"/>
      <c r="H68" s="367"/>
      <c r="I68" s="402"/>
    </row>
    <row r="69" spans="1:9" x14ac:dyDescent="0.25">
      <c r="A69" s="16"/>
      <c r="B69" s="16"/>
      <c r="C69" s="16"/>
      <c r="D69" s="16"/>
      <c r="E69" s="16"/>
      <c r="F69" s="16"/>
      <c r="G69" s="16"/>
      <c r="H69" s="367"/>
      <c r="I69" s="402"/>
    </row>
    <row r="70" spans="1:9" x14ac:dyDescent="0.25">
      <c r="A70" s="16"/>
      <c r="B70" s="16"/>
      <c r="C70" s="16"/>
      <c r="D70" s="16"/>
      <c r="E70" s="16"/>
      <c r="F70" s="16"/>
      <c r="G70" s="16"/>
      <c r="H70" s="367"/>
      <c r="I70" s="402"/>
    </row>
    <row r="71" spans="1:9" x14ac:dyDescent="0.25">
      <c r="A71" s="16"/>
      <c r="B71" s="16"/>
      <c r="C71" s="16"/>
      <c r="D71" s="16"/>
      <c r="E71" s="16"/>
      <c r="F71" s="16"/>
      <c r="G71" s="16"/>
      <c r="H71" s="367"/>
      <c r="I71" s="402"/>
    </row>
    <row r="72" spans="1:9" x14ac:dyDescent="0.25">
      <c r="A72" s="16"/>
      <c r="B72" s="16"/>
      <c r="C72" s="16"/>
      <c r="D72" s="16"/>
      <c r="E72" s="16"/>
      <c r="F72" s="16"/>
      <c r="G72" s="16"/>
      <c r="H72" s="367"/>
      <c r="I72" s="402"/>
    </row>
    <row r="73" spans="1:9" x14ac:dyDescent="0.25">
      <c r="A73" s="16"/>
      <c r="B73" s="16"/>
      <c r="C73" s="16"/>
      <c r="D73" s="16"/>
      <c r="E73" s="16"/>
      <c r="F73" s="16"/>
      <c r="G73" s="16"/>
      <c r="H73" s="367"/>
      <c r="I73" s="402"/>
    </row>
    <row r="74" spans="1:9" x14ac:dyDescent="0.25">
      <c r="A74" s="16"/>
      <c r="B74" s="16"/>
      <c r="C74" s="16"/>
      <c r="D74" s="16"/>
      <c r="E74" s="16"/>
      <c r="F74" s="16"/>
      <c r="G74" s="16"/>
      <c r="H74" s="367"/>
      <c r="I74" s="402"/>
    </row>
    <row r="75" spans="1:9" x14ac:dyDescent="0.25">
      <c r="A75" s="16"/>
      <c r="B75" s="16"/>
      <c r="C75" s="16"/>
      <c r="D75" s="16"/>
      <c r="E75" s="16"/>
      <c r="F75" s="16"/>
      <c r="G75" s="16"/>
      <c r="H75" s="367"/>
      <c r="I75" s="402"/>
    </row>
    <row r="76" spans="1:9" x14ac:dyDescent="0.25">
      <c r="A76" s="16"/>
      <c r="B76" s="16"/>
      <c r="C76" s="16"/>
      <c r="D76" s="16"/>
      <c r="E76" s="16"/>
      <c r="F76" s="16"/>
      <c r="G76" s="16"/>
      <c r="H76" s="367"/>
      <c r="I76" s="402"/>
    </row>
    <row r="77" spans="1:9" x14ac:dyDescent="0.25">
      <c r="A77" s="16"/>
      <c r="B77" s="16"/>
      <c r="C77" s="16"/>
      <c r="D77" s="16"/>
      <c r="E77" s="16"/>
      <c r="F77" s="16"/>
      <c r="G77" s="16"/>
      <c r="H77" s="367"/>
      <c r="I77" s="402"/>
    </row>
    <row r="78" spans="1:9" x14ac:dyDescent="0.25">
      <c r="A78" s="16"/>
      <c r="B78" s="16"/>
      <c r="C78" s="16"/>
      <c r="D78" s="16"/>
      <c r="E78" s="16"/>
      <c r="F78" s="16"/>
      <c r="G78" s="16"/>
      <c r="H78" s="367"/>
      <c r="I78" s="402"/>
    </row>
    <row r="79" spans="1:9" x14ac:dyDescent="0.25">
      <c r="A79" s="16"/>
      <c r="B79" s="16"/>
      <c r="C79" s="16"/>
      <c r="D79" s="16"/>
      <c r="E79" s="16"/>
      <c r="F79" s="16"/>
      <c r="G79" s="16"/>
      <c r="H79" s="367"/>
      <c r="I79" s="402"/>
    </row>
    <row r="80" spans="1:9" x14ac:dyDescent="0.25">
      <c r="A80" s="16"/>
      <c r="B80" s="16"/>
      <c r="C80" s="16"/>
      <c r="D80" s="16"/>
      <c r="E80" s="16"/>
      <c r="F80" s="16"/>
      <c r="G80" s="16"/>
      <c r="H80" s="367"/>
      <c r="I80" s="402"/>
    </row>
    <row r="81" spans="1:9" x14ac:dyDescent="0.25">
      <c r="A81" s="16"/>
      <c r="B81" s="16"/>
      <c r="C81" s="16"/>
      <c r="D81" s="16"/>
      <c r="E81" s="16"/>
      <c r="F81" s="16"/>
      <c r="G81" s="16"/>
      <c r="H81" s="367"/>
      <c r="I81" s="402"/>
    </row>
    <row r="82" spans="1:9" x14ac:dyDescent="0.25">
      <c r="A82" s="16"/>
      <c r="B82" s="16"/>
      <c r="C82" s="16"/>
      <c r="D82" s="16"/>
      <c r="E82" s="16"/>
      <c r="F82" s="16"/>
      <c r="G82" s="16"/>
      <c r="H82" s="367"/>
      <c r="I82" s="402"/>
    </row>
    <row r="83" spans="1:9" ht="38.25" customHeight="1" x14ac:dyDescent="0.25">
      <c r="A83" s="16"/>
      <c r="B83" s="16"/>
      <c r="C83" s="16"/>
      <c r="D83" s="16"/>
      <c r="E83" s="16"/>
      <c r="F83" s="16"/>
      <c r="G83" s="16"/>
      <c r="H83" s="367"/>
      <c r="I83" s="402"/>
    </row>
    <row r="84" spans="1:9" x14ac:dyDescent="0.25">
      <c r="A84" s="16"/>
      <c r="B84" s="16"/>
      <c r="C84" s="16"/>
      <c r="D84" s="16"/>
      <c r="E84" s="16"/>
      <c r="F84" s="16"/>
      <c r="G84" s="16"/>
      <c r="H84" s="367"/>
      <c r="I84" s="402"/>
    </row>
    <row r="85" spans="1:9" x14ac:dyDescent="0.25">
      <c r="A85" s="16"/>
      <c r="B85" s="16"/>
      <c r="C85" s="16"/>
      <c r="D85" s="16"/>
      <c r="E85" s="16"/>
      <c r="F85" s="16"/>
      <c r="G85" s="16"/>
      <c r="H85" s="367"/>
      <c r="I85" s="402"/>
    </row>
    <row r="86" spans="1:9" x14ac:dyDescent="0.25">
      <c r="A86" s="16"/>
      <c r="B86" s="16"/>
      <c r="C86" s="16"/>
      <c r="D86" s="16"/>
      <c r="E86" s="16"/>
      <c r="F86" s="16"/>
      <c r="G86" s="16"/>
      <c r="H86" s="367"/>
      <c r="I86" s="402"/>
    </row>
    <row r="87" spans="1:9" x14ac:dyDescent="0.25">
      <c r="A87" s="16"/>
      <c r="B87" s="16"/>
      <c r="C87" s="16"/>
      <c r="D87" s="16"/>
      <c r="E87" s="16"/>
      <c r="F87" s="16"/>
      <c r="G87" s="16"/>
      <c r="H87" s="367"/>
      <c r="I87" s="402"/>
    </row>
    <row r="88" spans="1:9" x14ac:dyDescent="0.25">
      <c r="A88" s="16"/>
      <c r="B88" s="353"/>
      <c r="C88" s="16"/>
      <c r="D88" s="16"/>
      <c r="E88" s="16"/>
      <c r="F88" s="16"/>
      <c r="G88" s="16"/>
      <c r="H88" s="367"/>
      <c r="I88" s="402"/>
    </row>
    <row r="89" spans="1:9" x14ac:dyDescent="0.25">
      <c r="A89" s="16"/>
      <c r="B89" s="16"/>
      <c r="C89" s="16"/>
      <c r="D89" s="16"/>
      <c r="E89" s="16"/>
      <c r="F89" s="16"/>
      <c r="G89" s="16"/>
      <c r="H89" s="367"/>
      <c r="I89" s="402"/>
    </row>
    <row r="90" spans="1:9" x14ac:dyDescent="0.25">
      <c r="A90" s="16"/>
      <c r="B90" s="16"/>
      <c r="C90" s="16"/>
      <c r="D90" s="16"/>
      <c r="E90" s="16"/>
      <c r="F90" s="16"/>
      <c r="G90" s="16"/>
      <c r="H90" s="367"/>
      <c r="I90" s="402"/>
    </row>
    <row r="91" spans="1:9" x14ac:dyDescent="0.25">
      <c r="A91" s="16"/>
      <c r="B91" s="16"/>
      <c r="C91" s="16"/>
      <c r="D91" s="16"/>
      <c r="E91" s="16"/>
      <c r="F91" s="16"/>
      <c r="G91" s="16"/>
      <c r="H91" s="367"/>
      <c r="I91"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8" fitToHeight="0" orientation="portrait" horizontalDpi="360" verticalDpi="360" r:id="rId1"/>
  <headerFooter scaleWithDoc="0">
    <oddFooter>&amp;C&amp;"Candara,Regular"&amp;10Page &amp;"Candara,Bold"&amp;P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K90"/>
  <sheetViews>
    <sheetView view="pageBreakPreview" topLeftCell="A4" zoomScale="130" zoomScaleNormal="130" zoomScaleSheetLayoutView="130" workbookViewId="0">
      <pane xSplit="1" ySplit="5" topLeftCell="B33" activePane="bottomRight" state="frozen"/>
      <selection activeCell="C40" sqref="C40"/>
      <selection pane="topRight" activeCell="C40" sqref="C40"/>
      <selection pane="bottomLeft" activeCell="C40" sqref="C40"/>
      <selection pane="bottomRight" activeCell="H43" sqref="H43"/>
    </sheetView>
  </sheetViews>
  <sheetFormatPr defaultColWidth="9.140625" defaultRowHeight="15" x14ac:dyDescent="0.25"/>
  <cols>
    <col min="1" max="1" width="37.7109375" style="41" customWidth="1"/>
    <col min="2" max="2" width="12.7109375" style="41" customWidth="1"/>
    <col min="3" max="7" width="14.7109375" style="41" customWidth="1"/>
    <col min="8" max="8" width="14.5703125" style="41" customWidth="1"/>
    <col min="9" max="9" width="12.71093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127</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6">
        <v>11</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(11)</v>
      </c>
      <c r="B12" s="352" t="s">
        <v>6</v>
      </c>
      <c r="C12" s="406">
        <v>3872305.26</v>
      </c>
      <c r="D12" s="369">
        <v>2064889</v>
      </c>
      <c r="E12" s="406">
        <f>F12-D12</f>
        <v>2595199.4000000004</v>
      </c>
      <c r="F12" s="369">
        <v>4660088.4000000004</v>
      </c>
      <c r="G12" s="408">
        <f>H12+I12</f>
        <v>4945221.6000000006</v>
      </c>
      <c r="H12" s="438">
        <v>4813221.6000000006</v>
      </c>
      <c r="I12" s="49">
        <f>I14/2</f>
        <v>132000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246000</v>
      </c>
      <c r="D14" s="369">
        <v>120000</v>
      </c>
      <c r="E14" s="406">
        <f t="shared" ref="E14:E32" si="0">F14-D14</f>
        <v>144000</v>
      </c>
      <c r="F14" s="369">
        <v>264000</v>
      </c>
      <c r="G14" s="408">
        <f>param_pera*CHRMO_PLATILLA_ITEMS*12</f>
        <v>264000</v>
      </c>
      <c r="H14" s="402"/>
      <c r="I14" s="49">
        <v>264000</v>
      </c>
    </row>
    <row r="15" spans="1:9" ht="15" customHeight="1" x14ac:dyDescent="0.25">
      <c r="A15" s="373" t="s">
        <v>11</v>
      </c>
      <c r="B15" s="352" t="s">
        <v>12</v>
      </c>
      <c r="C15" s="406">
        <v>135000</v>
      </c>
      <c r="D15" s="369">
        <v>67500</v>
      </c>
      <c r="E15" s="406">
        <f t="shared" si="0"/>
        <v>67500</v>
      </c>
      <c r="F15" s="369">
        <v>135000</v>
      </c>
      <c r="G15" s="408">
        <f>H15*12</f>
        <v>135000</v>
      </c>
      <c r="H15" s="402">
        <v>11250</v>
      </c>
    </row>
    <row r="16" spans="1:9" ht="15" customHeight="1" x14ac:dyDescent="0.25">
      <c r="A16" s="373" t="s">
        <v>13</v>
      </c>
      <c r="B16" s="352" t="s">
        <v>14</v>
      </c>
      <c r="C16" s="406">
        <v>135000</v>
      </c>
      <c r="D16" s="369">
        <v>67500</v>
      </c>
      <c r="E16" s="406">
        <f t="shared" si="0"/>
        <v>67500</v>
      </c>
      <c r="F16" s="369">
        <v>135000</v>
      </c>
      <c r="G16" s="408">
        <f>H16*12</f>
        <v>135000</v>
      </c>
      <c r="H16" s="402">
        <v>11250</v>
      </c>
    </row>
    <row r="17" spans="1:11" ht="15" customHeight="1" x14ac:dyDescent="0.25">
      <c r="A17" s="373" t="s">
        <v>15</v>
      </c>
      <c r="B17" s="352" t="s">
        <v>16</v>
      </c>
      <c r="C17" s="406">
        <v>66000</v>
      </c>
      <c r="D17" s="369">
        <v>60000</v>
      </c>
      <c r="E17" s="406">
        <f t="shared" si="0"/>
        <v>6000</v>
      </c>
      <c r="F17" s="369">
        <v>66000</v>
      </c>
      <c r="G17" s="408">
        <f>param_uniform*CHRMO_PLATILLA_ITEMS</f>
        <v>66000</v>
      </c>
      <c r="H17" s="402"/>
    </row>
    <row r="18" spans="1:11" ht="15" customHeight="1" x14ac:dyDescent="0.25">
      <c r="A18" s="373" t="s">
        <v>10</v>
      </c>
      <c r="B18" s="352" t="s">
        <v>175</v>
      </c>
      <c r="C18" s="406"/>
      <c r="D18" s="369"/>
      <c r="E18" s="406">
        <f t="shared" si="0"/>
        <v>900</v>
      </c>
      <c r="F18" s="369">
        <v>900</v>
      </c>
      <c r="G18" s="408"/>
      <c r="H18" s="402"/>
    </row>
    <row r="19" spans="1:11" ht="15" customHeight="1" x14ac:dyDescent="0.25">
      <c r="A19" s="373" t="s">
        <v>126</v>
      </c>
      <c r="B19" s="352" t="s">
        <v>125</v>
      </c>
      <c r="C19" s="406"/>
      <c r="D19" s="369"/>
      <c r="E19" s="406"/>
      <c r="F19" s="369"/>
      <c r="G19" s="408"/>
      <c r="H19" s="402"/>
    </row>
    <row r="20" spans="1:11" ht="15" customHeight="1" x14ac:dyDescent="0.25">
      <c r="A20" s="373" t="s">
        <v>17</v>
      </c>
      <c r="B20" s="352" t="s">
        <v>18</v>
      </c>
      <c r="C20" s="406">
        <v>331298</v>
      </c>
      <c r="D20" s="369"/>
      <c r="E20" s="406">
        <f t="shared" si="0"/>
        <v>388340.7</v>
      </c>
      <c r="F20" s="369">
        <v>388340.7</v>
      </c>
      <c r="G20" s="408">
        <f>H12/12+I20</f>
        <v>467101.80000000005</v>
      </c>
      <c r="H20" s="402"/>
      <c r="I20" s="49">
        <f>I14/4</f>
        <v>66000</v>
      </c>
      <c r="K20" s="41" t="s">
        <v>610</v>
      </c>
    </row>
    <row r="21" spans="1:11" ht="15" customHeight="1" x14ac:dyDescent="0.25">
      <c r="A21" s="373" t="s">
        <v>19</v>
      </c>
      <c r="B21" s="352" t="s">
        <v>20</v>
      </c>
      <c r="C21" s="406">
        <v>50000</v>
      </c>
      <c r="D21" s="369"/>
      <c r="E21" s="406">
        <f t="shared" si="0"/>
        <v>55000</v>
      </c>
      <c r="F21" s="369">
        <v>55000</v>
      </c>
      <c r="G21" s="408">
        <f>param_cash_gift*CHRMO_PLATILLA_ITEMS</f>
        <v>55000</v>
      </c>
      <c r="H21" s="402"/>
    </row>
    <row r="22" spans="1:11" ht="15" customHeight="1" x14ac:dyDescent="0.25">
      <c r="A22" s="403" t="s">
        <v>21</v>
      </c>
      <c r="B22" s="365"/>
      <c r="C22" s="404"/>
      <c r="D22" s="366"/>
      <c r="E22" s="406"/>
      <c r="F22" s="366"/>
      <c r="G22" s="405"/>
      <c r="H22" s="402"/>
    </row>
    <row r="23" spans="1:11" ht="15" customHeight="1" x14ac:dyDescent="0.25">
      <c r="A23" s="373" t="s">
        <v>22</v>
      </c>
      <c r="B23" s="352" t="s">
        <v>23</v>
      </c>
      <c r="C23" s="406">
        <v>484554.51</v>
      </c>
      <c r="D23" s="369">
        <v>247742.4</v>
      </c>
      <c r="E23" s="406">
        <f t="shared" si="0"/>
        <v>311468.20799999998</v>
      </c>
      <c r="F23" s="369">
        <v>559210.60800000001</v>
      </c>
      <c r="G23" s="408">
        <f>H12*12%</f>
        <v>577586.59200000006</v>
      </c>
      <c r="H23" s="402"/>
    </row>
    <row r="24" spans="1:11" ht="15" customHeight="1" x14ac:dyDescent="0.25">
      <c r="A24" s="373" t="s">
        <v>24</v>
      </c>
      <c r="B24" s="352" t="s">
        <v>25</v>
      </c>
      <c r="C24" s="406">
        <v>12300</v>
      </c>
      <c r="D24" s="369">
        <v>6000</v>
      </c>
      <c r="E24" s="406">
        <f t="shared" si="0"/>
        <v>13800</v>
      </c>
      <c r="F24" s="369">
        <v>19800</v>
      </c>
      <c r="G24" s="408">
        <f>param_pagibig*CHRMO_PLATILLA_ITEMS*12</f>
        <v>19800</v>
      </c>
      <c r="H24" s="402"/>
    </row>
    <row r="25" spans="1:11" ht="15" customHeight="1" x14ac:dyDescent="0.25">
      <c r="A25" s="373" t="s">
        <v>26</v>
      </c>
      <c r="B25" s="352" t="s">
        <v>27</v>
      </c>
      <c r="C25" s="406">
        <v>53312.08</v>
      </c>
      <c r="D25" s="369">
        <v>39562.839999999997</v>
      </c>
      <c r="E25" s="406">
        <f t="shared" si="0"/>
        <v>79437.16</v>
      </c>
      <c r="F25" s="369">
        <v>119000</v>
      </c>
      <c r="G25" s="408">
        <f>ROUND(H25+(H25*0.1), -1)</f>
        <v>99780</v>
      </c>
      <c r="H25" s="402">
        <v>90710.808000000005</v>
      </c>
    </row>
    <row r="26" spans="1:11" ht="15" customHeight="1" x14ac:dyDescent="0.25">
      <c r="A26" s="373" t="s">
        <v>28</v>
      </c>
      <c r="B26" s="352" t="s">
        <v>29</v>
      </c>
      <c r="C26" s="406">
        <v>12300</v>
      </c>
      <c r="D26" s="369">
        <v>6000</v>
      </c>
      <c r="E26" s="406">
        <f t="shared" si="0"/>
        <v>13800</v>
      </c>
      <c r="F26" s="369">
        <v>19800</v>
      </c>
      <c r="G26" s="408">
        <f>param_ecc*CHRMO_PLATILLA_ITEMS*12</f>
        <v>19800</v>
      </c>
      <c r="H26" s="402"/>
    </row>
    <row r="27" spans="1:11" ht="15" customHeight="1" x14ac:dyDescent="0.25">
      <c r="A27" s="403" t="s">
        <v>30</v>
      </c>
      <c r="B27" s="365"/>
      <c r="C27" s="404"/>
      <c r="D27" s="366"/>
      <c r="E27" s="404"/>
      <c r="F27" s="366"/>
      <c r="G27" s="405"/>
      <c r="H27" s="402"/>
    </row>
    <row r="28" spans="1:11" ht="15" customHeight="1" x14ac:dyDescent="0.25">
      <c r="A28" s="373" t="s">
        <v>30</v>
      </c>
      <c r="B28" s="352" t="s">
        <v>33</v>
      </c>
      <c r="C28" s="406"/>
      <c r="D28" s="369"/>
      <c r="E28" s="369"/>
      <c r="F28" s="369"/>
      <c r="G28" s="408"/>
      <c r="H28" s="519">
        <f>SUM(G28:G35)</f>
        <v>577101.80000000005</v>
      </c>
    </row>
    <row r="29" spans="1:11" ht="15" customHeight="1" x14ac:dyDescent="0.25">
      <c r="A29" s="434" t="s">
        <v>332</v>
      </c>
      <c r="B29" s="352"/>
      <c r="C29" s="406">
        <v>334439</v>
      </c>
      <c r="D29" s="369">
        <v>344498</v>
      </c>
      <c r="E29" s="406">
        <f t="shared" si="0"/>
        <v>43842.700000000012</v>
      </c>
      <c r="F29" s="369">
        <v>388340.7</v>
      </c>
      <c r="G29" s="408">
        <f>H12/12+I29</f>
        <v>467101.80000000005</v>
      </c>
      <c r="H29" s="402"/>
      <c r="I29" s="49">
        <f>I14/4</f>
        <v>66000</v>
      </c>
    </row>
    <row r="30" spans="1:11" ht="15" customHeight="1" x14ac:dyDescent="0.25">
      <c r="A30" s="434" t="s">
        <v>333</v>
      </c>
      <c r="B30" s="352"/>
      <c r="C30" s="406">
        <v>50000</v>
      </c>
      <c r="D30" s="369"/>
      <c r="E30" s="406">
        <f t="shared" si="0"/>
        <v>55000</v>
      </c>
      <c r="F30" s="369">
        <v>55000</v>
      </c>
      <c r="G30" s="408">
        <f>param_pei*CHRMO_PLATILLA_ITEMS</f>
        <v>55000</v>
      </c>
      <c r="H30" s="596"/>
    </row>
    <row r="31" spans="1:11" ht="30" customHeight="1" x14ac:dyDescent="0.25">
      <c r="A31" s="434" t="s">
        <v>649</v>
      </c>
      <c r="B31" s="352"/>
      <c r="C31" s="406"/>
      <c r="D31" s="369"/>
      <c r="E31" s="406">
        <f t="shared" si="0"/>
        <v>55000</v>
      </c>
      <c r="F31" s="369">
        <v>55000</v>
      </c>
      <c r="G31" s="408">
        <f>param_pbb*CHRMO_PLATILLA_ITEMS</f>
        <v>55000</v>
      </c>
      <c r="H31" s="402"/>
    </row>
    <row r="32" spans="1:11" ht="15" customHeight="1" x14ac:dyDescent="0.25">
      <c r="A32" s="434" t="s">
        <v>334</v>
      </c>
      <c r="B32" s="352"/>
      <c r="C32" s="406"/>
      <c r="D32" s="369"/>
      <c r="E32" s="406">
        <f t="shared" si="0"/>
        <v>0</v>
      </c>
      <c r="F32" s="369"/>
      <c r="G32" s="408"/>
      <c r="H32" s="519"/>
    </row>
    <row r="33" spans="1:9" ht="15" customHeight="1" x14ac:dyDescent="0.25">
      <c r="A33" s="513" t="s">
        <v>650</v>
      </c>
      <c r="B33" s="479"/>
      <c r="C33" s="381">
        <v>250000</v>
      </c>
      <c r="D33" s="381"/>
      <c r="E33" s="381"/>
      <c r="F33" s="381"/>
      <c r="G33" s="381"/>
      <c r="H33" s="375"/>
    </row>
    <row r="34" spans="1:9" ht="15" customHeight="1" x14ac:dyDescent="0.25">
      <c r="A34" s="376" t="s">
        <v>652</v>
      </c>
      <c r="B34" s="352"/>
      <c r="C34" s="369"/>
      <c r="D34" s="369"/>
      <c r="E34" s="369"/>
      <c r="F34" s="369"/>
      <c r="G34" s="369"/>
      <c r="H34" s="375"/>
    </row>
    <row r="35" spans="1:9" ht="15" customHeight="1" x14ac:dyDescent="0.25">
      <c r="A35" s="378" t="s">
        <v>653</v>
      </c>
      <c r="B35" s="379"/>
      <c r="C35" s="380">
        <v>100000</v>
      </c>
      <c r="D35" s="380"/>
      <c r="E35" s="381"/>
      <c r="F35" s="380"/>
      <c r="G35" s="380"/>
      <c r="H35" s="375"/>
    </row>
    <row r="36" spans="1:9" ht="15" customHeight="1" x14ac:dyDescent="0.25">
      <c r="A36" s="396" t="s">
        <v>34</v>
      </c>
      <c r="B36" s="397"/>
      <c r="C36" s="416">
        <f>SUM(C11:C35)</f>
        <v>6132508.8499999996</v>
      </c>
      <c r="D36" s="416">
        <f t="shared" ref="D36:F36" si="1">SUM(D11:D35)</f>
        <v>3023692.2399999998</v>
      </c>
      <c r="E36" s="416">
        <f t="shared" si="1"/>
        <v>3896788.168000001</v>
      </c>
      <c r="F36" s="416">
        <f t="shared" si="1"/>
        <v>6920480.4080000008</v>
      </c>
      <c r="G36" s="416">
        <f>SUM(G11:G35)</f>
        <v>7361391.7920000004</v>
      </c>
      <c r="H36" s="439"/>
    </row>
    <row r="37" spans="1:9" ht="15" customHeight="1" x14ac:dyDescent="0.25">
      <c r="A37" s="429" t="s">
        <v>35</v>
      </c>
      <c r="B37" s="362"/>
      <c r="C37" s="430"/>
      <c r="D37" s="363"/>
      <c r="E37" s="430"/>
      <c r="F37" s="363"/>
      <c r="G37" s="431"/>
      <c r="H37" s="16"/>
    </row>
    <row r="38" spans="1:9" ht="15" customHeight="1" x14ac:dyDescent="0.25">
      <c r="A38" s="403" t="s">
        <v>55</v>
      </c>
      <c r="B38" s="365"/>
      <c r="C38" s="404"/>
      <c r="D38" s="366"/>
      <c r="E38" s="404"/>
      <c r="F38" s="366"/>
      <c r="G38" s="366"/>
      <c r="H38" s="16"/>
    </row>
    <row r="39" spans="1:9" ht="15" customHeight="1" x14ac:dyDescent="0.25">
      <c r="A39" s="373" t="s">
        <v>56</v>
      </c>
      <c r="B39" s="352" t="s">
        <v>57</v>
      </c>
      <c r="C39" s="406">
        <v>1710</v>
      </c>
      <c r="D39" s="369"/>
      <c r="E39" s="406">
        <f t="shared" ref="E39" si="2">F39-D39</f>
        <v>10000</v>
      </c>
      <c r="F39" s="369">
        <v>10000</v>
      </c>
      <c r="G39" s="369">
        <v>10000</v>
      </c>
      <c r="H39" s="16"/>
    </row>
    <row r="40" spans="1:9" ht="15" customHeight="1" x14ac:dyDescent="0.25">
      <c r="A40" s="403" t="s">
        <v>58</v>
      </c>
      <c r="B40" s="365"/>
      <c r="C40" s="404"/>
      <c r="D40" s="366"/>
      <c r="E40" s="404"/>
      <c r="F40" s="366"/>
      <c r="G40" s="366"/>
      <c r="H40" s="16"/>
    </row>
    <row r="41" spans="1:9" ht="15" customHeight="1" x14ac:dyDescent="0.25">
      <c r="A41" s="373" t="s">
        <v>61</v>
      </c>
      <c r="B41" s="352" t="s">
        <v>62</v>
      </c>
      <c r="C41" s="406">
        <v>8000</v>
      </c>
      <c r="D41" s="369">
        <v>12000</v>
      </c>
      <c r="E41" s="406">
        <f t="shared" ref="E41:E42" si="3">F41-D41</f>
        <v>24000</v>
      </c>
      <c r="F41" s="369">
        <v>36000</v>
      </c>
      <c r="G41" s="369">
        <v>36000</v>
      </c>
      <c r="H41" s="16"/>
    </row>
    <row r="42" spans="1:9" ht="15" customHeight="1" x14ac:dyDescent="0.25">
      <c r="A42" s="373" t="s">
        <v>63</v>
      </c>
      <c r="B42" s="352" t="s">
        <v>64</v>
      </c>
      <c r="C42" s="406"/>
      <c r="D42" s="369"/>
      <c r="E42" s="406">
        <f t="shared" si="3"/>
        <v>21000</v>
      </c>
      <c r="F42" s="369">
        <v>21000</v>
      </c>
      <c r="G42" s="369">
        <v>18000</v>
      </c>
      <c r="H42" s="16"/>
    </row>
    <row r="43" spans="1:9" ht="15" customHeight="1" x14ac:dyDescent="0.25">
      <c r="A43" s="403" t="s">
        <v>79</v>
      </c>
      <c r="B43" s="365"/>
      <c r="C43" s="404"/>
      <c r="D43" s="366"/>
      <c r="E43" s="406"/>
      <c r="F43" s="366"/>
      <c r="G43" s="366"/>
      <c r="H43" s="16"/>
    </row>
    <row r="44" spans="1:9" ht="15" customHeight="1" x14ac:dyDescent="0.25">
      <c r="A44" s="373" t="s">
        <v>80</v>
      </c>
      <c r="B44" s="352" t="s">
        <v>81</v>
      </c>
      <c r="C44" s="406">
        <v>207035.2</v>
      </c>
      <c r="D44" s="369">
        <v>79520</v>
      </c>
      <c r="E44" s="406">
        <f t="shared" ref="E44" si="4">F44-D44</f>
        <v>162600</v>
      </c>
      <c r="F44" s="369">
        <v>242120</v>
      </c>
      <c r="G44" s="770">
        <v>242120</v>
      </c>
      <c r="H44" s="523">
        <v>242120</v>
      </c>
    </row>
    <row r="45" spans="1:9" ht="15" customHeight="1" x14ac:dyDescent="0.25">
      <c r="A45" s="403" t="s">
        <v>42</v>
      </c>
      <c r="B45" s="365"/>
      <c r="C45" s="404"/>
      <c r="D45" s="366"/>
      <c r="E45" s="404"/>
      <c r="F45" s="366"/>
      <c r="G45" s="405"/>
      <c r="H45" s="16"/>
    </row>
    <row r="46" spans="1:9" ht="15" customHeight="1" x14ac:dyDescent="0.25">
      <c r="A46" s="373" t="s">
        <v>42</v>
      </c>
      <c r="B46" s="433" t="s">
        <v>176</v>
      </c>
      <c r="C46" s="406">
        <v>11000</v>
      </c>
      <c r="D46" s="369"/>
      <c r="E46" s="406">
        <f t="shared" ref="E46" si="5">F46-D46</f>
        <v>50000</v>
      </c>
      <c r="F46" s="369">
        <v>50000</v>
      </c>
      <c r="G46" s="369">
        <v>23000</v>
      </c>
      <c r="H46" s="16"/>
    </row>
    <row r="47" spans="1:9" s="44" customFormat="1" ht="30" customHeight="1" x14ac:dyDescent="0.25">
      <c r="A47" s="396" t="s">
        <v>86</v>
      </c>
      <c r="B47" s="397"/>
      <c r="C47" s="398">
        <f>SUM(C37:C46)</f>
        <v>227745.2</v>
      </c>
      <c r="D47" s="398">
        <f>SUM(D37:D46)</f>
        <v>91520</v>
      </c>
      <c r="E47" s="398">
        <f>SUM(E37:E46)</f>
        <v>267600</v>
      </c>
      <c r="F47" s="398">
        <f>SUM(F37:F46)</f>
        <v>359120</v>
      </c>
      <c r="G47" s="398">
        <f>SUM(G39:G46)</f>
        <v>329120</v>
      </c>
      <c r="H47" s="796">
        <v>298120</v>
      </c>
      <c r="I47" s="1048"/>
    </row>
    <row r="48" spans="1:9" ht="15" customHeight="1" x14ac:dyDescent="0.25">
      <c r="A48" s="429" t="s">
        <v>88</v>
      </c>
      <c r="B48" s="362"/>
      <c r="C48" s="430"/>
      <c r="D48" s="363"/>
      <c r="E48" s="430"/>
      <c r="F48" s="363"/>
      <c r="G48" s="431"/>
      <c r="H48" s="16"/>
    </row>
    <row r="49" spans="1:9" s="44" customFormat="1" ht="15" customHeight="1" x14ac:dyDescent="0.25">
      <c r="A49" s="396" t="s">
        <v>112</v>
      </c>
      <c r="B49" s="436"/>
      <c r="C49" s="416">
        <f>SUM(C48:C48)</f>
        <v>0</v>
      </c>
      <c r="D49" s="416">
        <f>SUM(D48:D48)</f>
        <v>0</v>
      </c>
      <c r="E49" s="416">
        <f>SUM(E48:E48)</f>
        <v>0</v>
      </c>
      <c r="F49" s="416">
        <f>SUM(F48:F48)</f>
        <v>0</v>
      </c>
      <c r="G49" s="416">
        <f>SUM(G48:G48)</f>
        <v>0</v>
      </c>
      <c r="H49" s="401"/>
      <c r="I49" s="1048"/>
    </row>
    <row r="50" spans="1:9" s="53" customFormat="1" ht="15" customHeight="1" x14ac:dyDescent="0.25">
      <c r="A50" s="419" t="s">
        <v>113</v>
      </c>
      <c r="B50" s="437"/>
      <c r="C50" s="421">
        <f>C36+C47+C49</f>
        <v>6360254.0499999998</v>
      </c>
      <c r="D50" s="421">
        <f>D36+D47+D49</f>
        <v>3115212.2399999998</v>
      </c>
      <c r="E50" s="421">
        <f>E36+E47+E49</f>
        <v>4164388.168000001</v>
      </c>
      <c r="F50" s="421">
        <f>F36+F47+F49</f>
        <v>7279600.4080000008</v>
      </c>
      <c r="G50" s="421">
        <f>G36+G47+G49</f>
        <v>7690511.7920000004</v>
      </c>
      <c r="H50" s="521"/>
      <c r="I50" s="1049"/>
    </row>
    <row r="51" spans="1:9" x14ac:dyDescent="0.25">
      <c r="A51" s="16"/>
      <c r="B51" s="16"/>
      <c r="C51" s="16"/>
      <c r="D51" s="16"/>
      <c r="E51" s="16"/>
      <c r="F51" s="16"/>
      <c r="G51" s="16"/>
      <c r="H51" s="16"/>
    </row>
    <row r="52" spans="1:9" x14ac:dyDescent="0.25">
      <c r="A52" s="16"/>
      <c r="B52" s="16"/>
      <c r="C52" s="16"/>
      <c r="D52" s="16"/>
      <c r="E52" s="16"/>
      <c r="F52" s="16"/>
      <c r="G52" s="16"/>
      <c r="H52" s="16"/>
    </row>
    <row r="53" spans="1:9" x14ac:dyDescent="0.25">
      <c r="A53" s="16"/>
      <c r="B53" s="16"/>
      <c r="C53" s="16"/>
      <c r="D53" s="16"/>
      <c r="E53" s="16"/>
      <c r="F53" s="16"/>
      <c r="G53" s="16"/>
      <c r="H53" s="16"/>
    </row>
    <row r="54" spans="1:9" x14ac:dyDescent="0.25">
      <c r="A54" s="16"/>
      <c r="B54" s="16"/>
      <c r="C54" s="16"/>
      <c r="D54" s="16"/>
      <c r="E54" s="16"/>
      <c r="F54" s="16"/>
      <c r="G54" s="16"/>
      <c r="H54" s="16"/>
    </row>
    <row r="55" spans="1:9" x14ac:dyDescent="0.25">
      <c r="A55" s="16"/>
      <c r="B55" s="16"/>
      <c r="C55" s="16"/>
      <c r="D55" s="16"/>
      <c r="E55" s="16"/>
      <c r="F55" s="16"/>
      <c r="G55" s="16"/>
      <c r="H55" s="16"/>
    </row>
    <row r="56" spans="1:9" x14ac:dyDescent="0.25">
      <c r="A56" s="16"/>
      <c r="B56" s="16"/>
      <c r="C56" s="16"/>
      <c r="D56" s="16"/>
      <c r="E56" s="16"/>
      <c r="F56" s="16"/>
      <c r="G56" s="16"/>
      <c r="H56" s="16"/>
    </row>
    <row r="57" spans="1:9" x14ac:dyDescent="0.25">
      <c r="A57" s="16"/>
      <c r="B57" s="16"/>
      <c r="C57" s="16"/>
      <c r="D57" s="16"/>
      <c r="E57" s="16"/>
      <c r="F57" s="16"/>
      <c r="G57" s="16"/>
      <c r="H57" s="16"/>
    </row>
    <row r="58" spans="1:9" x14ac:dyDescent="0.25">
      <c r="A58" s="16"/>
      <c r="B58" s="16"/>
      <c r="C58" s="16"/>
      <c r="D58" s="16"/>
      <c r="E58" s="16"/>
      <c r="F58" s="16"/>
      <c r="G58" s="16"/>
      <c r="H58" s="16"/>
    </row>
    <row r="59" spans="1:9" x14ac:dyDescent="0.25">
      <c r="A59" s="16"/>
      <c r="B59" s="16"/>
      <c r="C59" s="16"/>
      <c r="D59" s="16"/>
      <c r="E59" s="16"/>
      <c r="F59" s="16"/>
      <c r="G59" s="16"/>
      <c r="H59" s="16"/>
    </row>
    <row r="60" spans="1:9" x14ac:dyDescent="0.25">
      <c r="A60" s="16"/>
      <c r="B60" s="16"/>
      <c r="C60" s="16"/>
      <c r="D60" s="16"/>
      <c r="E60" s="16"/>
      <c r="F60" s="16"/>
      <c r="G60" s="16"/>
      <c r="H60" s="16"/>
    </row>
    <row r="61" spans="1:9" x14ac:dyDescent="0.25">
      <c r="A61" s="16"/>
      <c r="B61" s="16"/>
      <c r="C61" s="16"/>
      <c r="D61" s="16"/>
      <c r="E61" s="16"/>
      <c r="F61" s="16"/>
      <c r="G61" s="16"/>
      <c r="H61" s="16"/>
    </row>
    <row r="62" spans="1:9" x14ac:dyDescent="0.25">
      <c r="A62" s="16"/>
      <c r="B62" s="16"/>
      <c r="C62" s="16"/>
      <c r="D62" s="16"/>
      <c r="E62" s="16"/>
      <c r="F62" s="16"/>
      <c r="G62" s="16"/>
      <c r="H62" s="16"/>
    </row>
    <row r="63" spans="1:9" x14ac:dyDescent="0.25">
      <c r="A63" s="16"/>
      <c r="B63" s="16"/>
      <c r="C63" s="16"/>
      <c r="D63" s="16"/>
      <c r="E63" s="16"/>
      <c r="F63" s="16"/>
      <c r="G63" s="16"/>
      <c r="H63" s="16"/>
    </row>
    <row r="64" spans="1:9"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ht="38.25" customHeight="1"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353"/>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6" fitToHeight="0" orientation="portrait" horizontalDpi="360" verticalDpi="360" r:id="rId1"/>
  <headerFooter scaleWithDoc="0">
    <oddFooter>&amp;C&amp;"Candara,Regular"&amp;10Page &amp;"Candara,Bold"&amp;P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5"/>
  <sheetViews>
    <sheetView view="pageBreakPreview" topLeftCell="A4" zoomScaleSheetLayoutView="100" workbookViewId="0">
      <pane xSplit="2" ySplit="6" topLeftCell="C10" activePane="bottomRight" state="frozen"/>
      <selection activeCell="G83" sqref="G83"/>
      <selection pane="topRight" activeCell="G83" sqref="G83"/>
      <selection pane="bottomLeft" activeCell="G83" sqref="G83"/>
      <selection pane="bottomRight" activeCell="C27" sqref="C27"/>
    </sheetView>
  </sheetViews>
  <sheetFormatPr defaultColWidth="9.140625" defaultRowHeight="15" x14ac:dyDescent="0.25"/>
  <cols>
    <col min="1" max="1" width="37.7109375" style="41" customWidth="1"/>
    <col min="2" max="2" width="12.7109375" style="41" customWidth="1"/>
    <col min="3" max="7" width="14.7109375" style="41" customWidth="1"/>
    <col min="8" max="8" width="15.28515625" style="41" bestFit="1" customWidth="1"/>
    <col min="9" max="9" width="12" style="41" bestFit="1" customWidth="1"/>
    <col min="10" max="10" width="11.5703125" style="41" customWidth="1"/>
    <col min="11" max="16384" width="9.140625" style="41"/>
  </cols>
  <sheetData>
    <row r="1" spans="1:10" ht="15" customHeight="1" x14ac:dyDescent="0.25">
      <c r="A1" s="1071" t="s">
        <v>231</v>
      </c>
      <c r="B1" s="1071"/>
      <c r="C1" s="1071"/>
      <c r="D1" s="1071"/>
      <c r="E1" s="1071"/>
      <c r="F1" s="1071"/>
      <c r="G1" s="1071"/>
    </row>
    <row r="2" spans="1:10" ht="18.75" customHeight="1" x14ac:dyDescent="0.3">
      <c r="A2" s="1072" t="s">
        <v>232</v>
      </c>
      <c r="B2" s="1072"/>
      <c r="C2" s="1072"/>
      <c r="D2" s="1072"/>
      <c r="E2" s="1072"/>
      <c r="F2" s="1072"/>
      <c r="G2" s="1072"/>
    </row>
    <row r="3" spans="1:10" ht="15.75" customHeight="1" x14ac:dyDescent="0.25">
      <c r="A3" s="1073" t="s">
        <v>233</v>
      </c>
      <c r="B3" s="1073"/>
      <c r="C3" s="1073"/>
      <c r="D3" s="1073"/>
      <c r="E3" s="1073"/>
      <c r="F3" s="1073"/>
      <c r="G3" s="1073"/>
    </row>
    <row r="4" spans="1:10" ht="15" customHeight="1" x14ac:dyDescent="0.25">
      <c r="A4" s="1074" t="s">
        <v>462</v>
      </c>
      <c r="B4" s="1075"/>
      <c r="C4" s="1075"/>
      <c r="D4" s="1075"/>
      <c r="E4" s="1075"/>
      <c r="F4" s="1075"/>
      <c r="G4" s="1075"/>
    </row>
    <row r="6" spans="1:10" s="43" customFormat="1" ht="12" x14ac:dyDescent="0.2">
      <c r="A6" s="1076" t="s">
        <v>1</v>
      </c>
      <c r="B6" s="1076" t="s">
        <v>2</v>
      </c>
      <c r="C6" s="1076" t="s">
        <v>310</v>
      </c>
      <c r="D6" s="1077" t="s">
        <v>307</v>
      </c>
      <c r="E6" s="1077"/>
      <c r="F6" s="1077"/>
      <c r="G6" s="1076" t="s">
        <v>311</v>
      </c>
    </row>
    <row r="7" spans="1:10" s="43" customFormat="1" ht="12" x14ac:dyDescent="0.2">
      <c r="A7" s="1076"/>
      <c r="B7" s="1076"/>
      <c r="C7" s="1076"/>
      <c r="D7" s="1077"/>
      <c r="E7" s="1077"/>
      <c r="F7" s="1077"/>
      <c r="G7" s="1076"/>
    </row>
    <row r="8" spans="1:10" s="43" customFormat="1" ht="24" x14ac:dyDescent="0.2">
      <c r="A8" s="1076"/>
      <c r="B8" s="1076"/>
      <c r="C8" s="1076"/>
      <c r="D8" s="95" t="s">
        <v>308</v>
      </c>
      <c r="E8" s="95" t="s">
        <v>309</v>
      </c>
      <c r="F8" s="95" t="s">
        <v>3</v>
      </c>
      <c r="G8" s="1076"/>
    </row>
    <row r="9" spans="1:10" s="70" customFormat="1" ht="11.25" x14ac:dyDescent="0.25">
      <c r="A9" s="96">
        <v>1</v>
      </c>
      <c r="B9" s="96">
        <v>2</v>
      </c>
      <c r="C9" s="96">
        <v>3</v>
      </c>
      <c r="D9" s="96">
        <v>4</v>
      </c>
      <c r="E9" s="96">
        <v>5</v>
      </c>
      <c r="F9" s="96">
        <v>6</v>
      </c>
      <c r="G9" s="96">
        <v>7</v>
      </c>
      <c r="H9" s="211" t="s">
        <v>497</v>
      </c>
      <c r="I9" s="280" t="s">
        <v>559</v>
      </c>
      <c r="J9" s="283" t="s">
        <v>560</v>
      </c>
    </row>
    <row r="10" spans="1:10" ht="15" customHeight="1" x14ac:dyDescent="0.25">
      <c r="A10" s="187" t="s">
        <v>4</v>
      </c>
      <c r="B10" s="93"/>
      <c r="C10" s="188"/>
      <c r="D10" s="94"/>
      <c r="E10" s="188"/>
      <c r="F10" s="94"/>
      <c r="G10" s="189"/>
      <c r="H10" s="50">
        <v>1</v>
      </c>
    </row>
    <row r="11" spans="1:10" ht="15" customHeight="1" x14ac:dyDescent="0.25">
      <c r="A11" s="106" t="s">
        <v>5</v>
      </c>
      <c r="B11" s="90"/>
      <c r="C11" s="71"/>
      <c r="D11" s="87"/>
      <c r="E11" s="71"/>
      <c r="F11" s="87"/>
      <c r="G11" s="185"/>
    </row>
    <row r="12" spans="1:10" ht="15" customHeight="1" x14ac:dyDescent="0.25">
      <c r="A12" s="108" t="str">
        <f>"Salaries and Wages - Regular (" &amp; H10 &amp; ")"</f>
        <v>Salaries and Wages - Regular (1)</v>
      </c>
      <c r="B12" s="91" t="s">
        <v>6</v>
      </c>
      <c r="C12" s="72"/>
      <c r="D12" s="88"/>
      <c r="E12" s="72"/>
      <c r="F12" s="88"/>
      <c r="G12" s="186">
        <v>1067968.8</v>
      </c>
      <c r="H12" s="68">
        <f>'[4]SOLIDWASTE-SOLIDWASTE'!$H$14</f>
        <v>0</v>
      </c>
      <c r="I12" s="46">
        <f>G12</f>
        <v>1067968.8</v>
      </c>
      <c r="J12" s="281">
        <f>I12-G12</f>
        <v>0</v>
      </c>
    </row>
    <row r="13" spans="1:10" ht="15" customHeight="1" x14ac:dyDescent="0.25">
      <c r="A13" s="106" t="s">
        <v>7</v>
      </c>
      <c r="B13" s="90"/>
      <c r="C13" s="71"/>
      <c r="D13" s="87"/>
      <c r="E13" s="71"/>
      <c r="F13" s="87"/>
      <c r="G13" s="185"/>
      <c r="I13" s="46">
        <f t="shared" ref="I13:I26" si="0">G13</f>
        <v>0</v>
      </c>
      <c r="J13" s="281">
        <f t="shared" ref="J13:J29" si="1">I13-G13</f>
        <v>0</v>
      </c>
    </row>
    <row r="14" spans="1:10" ht="15" customHeight="1" x14ac:dyDescent="0.25">
      <c r="A14" s="108" t="s">
        <v>8</v>
      </c>
      <c r="B14" s="91" t="s">
        <v>9</v>
      </c>
      <c r="C14" s="72"/>
      <c r="D14" s="88"/>
      <c r="E14" s="72"/>
      <c r="F14" s="88"/>
      <c r="G14" s="186">
        <f>H14*H10*12</f>
        <v>24000</v>
      </c>
      <c r="H14" s="49">
        <v>2000</v>
      </c>
      <c r="I14" s="46">
        <f>H14*2*12</f>
        <v>48000</v>
      </c>
      <c r="J14" s="281">
        <f t="shared" si="1"/>
        <v>24000</v>
      </c>
    </row>
    <row r="15" spans="1:10" ht="15" customHeight="1" x14ac:dyDescent="0.25">
      <c r="A15" s="108" t="s">
        <v>10</v>
      </c>
      <c r="B15" s="91" t="s">
        <v>175</v>
      </c>
      <c r="C15" s="72"/>
      <c r="D15" s="88"/>
      <c r="E15" s="72"/>
      <c r="F15" s="88"/>
      <c r="G15" s="186"/>
      <c r="H15" s="49"/>
      <c r="I15" s="46">
        <f t="shared" si="0"/>
        <v>0</v>
      </c>
      <c r="J15" s="281">
        <f t="shared" si="1"/>
        <v>0</v>
      </c>
    </row>
    <row r="16" spans="1:10" ht="15" customHeight="1" x14ac:dyDescent="0.25">
      <c r="A16" s="108" t="s">
        <v>15</v>
      </c>
      <c r="B16" s="91" t="s">
        <v>16</v>
      </c>
      <c r="C16" s="72"/>
      <c r="D16" s="88"/>
      <c r="E16" s="72"/>
      <c r="F16" s="88"/>
      <c r="G16" s="186">
        <f>H16*H10</f>
        <v>6000</v>
      </c>
      <c r="H16" s="49">
        <v>6000</v>
      </c>
      <c r="I16" s="46">
        <f>H16*2</f>
        <v>12000</v>
      </c>
      <c r="J16" s="281">
        <f t="shared" si="1"/>
        <v>6000</v>
      </c>
    </row>
    <row r="17" spans="1:10" ht="15" customHeight="1" x14ac:dyDescent="0.25">
      <c r="A17" s="108" t="s">
        <v>17</v>
      </c>
      <c r="B17" s="91" t="s">
        <v>18</v>
      </c>
      <c r="C17" s="72"/>
      <c r="D17" s="88"/>
      <c r="E17" s="72"/>
      <c r="F17" s="88"/>
      <c r="G17" s="186">
        <f>G12/12</f>
        <v>88997.400000000009</v>
      </c>
      <c r="H17" s="49"/>
      <c r="I17" s="46">
        <f>I12/12</f>
        <v>88997.400000000009</v>
      </c>
      <c r="J17" s="281">
        <f t="shared" si="1"/>
        <v>0</v>
      </c>
    </row>
    <row r="18" spans="1:10" ht="15" customHeight="1" x14ac:dyDescent="0.25">
      <c r="A18" s="108" t="s">
        <v>19</v>
      </c>
      <c r="B18" s="91" t="s">
        <v>20</v>
      </c>
      <c r="C18" s="72"/>
      <c r="D18" s="88"/>
      <c r="E18" s="72"/>
      <c r="F18" s="88"/>
      <c r="G18" s="186">
        <f>H18*H10</f>
        <v>5000</v>
      </c>
      <c r="H18" s="49">
        <v>5000</v>
      </c>
      <c r="I18" s="46">
        <f>H18*2</f>
        <v>10000</v>
      </c>
      <c r="J18" s="281">
        <f t="shared" si="1"/>
        <v>5000</v>
      </c>
    </row>
    <row r="19" spans="1:10" ht="15" customHeight="1" x14ac:dyDescent="0.25">
      <c r="A19" s="106" t="s">
        <v>21</v>
      </c>
      <c r="B19" s="90"/>
      <c r="C19" s="71"/>
      <c r="D19" s="87"/>
      <c r="E19" s="71"/>
      <c r="F19" s="87"/>
      <c r="G19" s="185"/>
      <c r="H19" s="49"/>
      <c r="I19" s="46">
        <f t="shared" si="0"/>
        <v>0</v>
      </c>
      <c r="J19" s="281">
        <f t="shared" si="1"/>
        <v>0</v>
      </c>
    </row>
    <row r="20" spans="1:10" ht="15" customHeight="1" x14ac:dyDescent="0.25">
      <c r="A20" s="108" t="s">
        <v>22</v>
      </c>
      <c r="B20" s="91" t="s">
        <v>23</v>
      </c>
      <c r="C20" s="72"/>
      <c r="D20" s="88"/>
      <c r="E20" s="72"/>
      <c r="F20" s="88"/>
      <c r="G20" s="186">
        <f>G12*0.12</f>
        <v>128156.25599999999</v>
      </c>
      <c r="H20" s="49"/>
      <c r="I20" s="46">
        <f>I12*12%</f>
        <v>128156.25599999999</v>
      </c>
      <c r="J20" s="281">
        <f t="shared" si="1"/>
        <v>0</v>
      </c>
    </row>
    <row r="21" spans="1:10" ht="15" customHeight="1" x14ac:dyDescent="0.25">
      <c r="A21" s="108" t="s">
        <v>24</v>
      </c>
      <c r="B21" s="91" t="s">
        <v>25</v>
      </c>
      <c r="C21" s="72"/>
      <c r="D21" s="88"/>
      <c r="E21" s="72"/>
      <c r="F21" s="88"/>
      <c r="G21" s="186">
        <f>H21*H10*12</f>
        <v>1800</v>
      </c>
      <c r="H21" s="49">
        <v>150</v>
      </c>
      <c r="I21" s="46">
        <f>H21*2*12</f>
        <v>3600</v>
      </c>
      <c r="J21" s="281">
        <f t="shared" si="1"/>
        <v>1800</v>
      </c>
    </row>
    <row r="22" spans="1:10" ht="15" customHeight="1" x14ac:dyDescent="0.25">
      <c r="A22" s="108" t="s">
        <v>26</v>
      </c>
      <c r="B22" s="91" t="s">
        <v>27</v>
      </c>
      <c r="C22" s="72"/>
      <c r="D22" s="88"/>
      <c r="E22" s="72"/>
      <c r="F22" s="88"/>
      <c r="G22" s="186">
        <v>24000</v>
      </c>
      <c r="H22" s="49">
        <v>300</v>
      </c>
      <c r="I22" s="46">
        <f t="shared" si="0"/>
        <v>24000</v>
      </c>
      <c r="J22" s="281">
        <f t="shared" si="1"/>
        <v>0</v>
      </c>
    </row>
    <row r="23" spans="1:10" ht="15" customHeight="1" x14ac:dyDescent="0.25">
      <c r="A23" s="108" t="s">
        <v>28</v>
      </c>
      <c r="B23" s="91" t="s">
        <v>29</v>
      </c>
      <c r="C23" s="72"/>
      <c r="D23" s="88"/>
      <c r="E23" s="72"/>
      <c r="F23" s="88"/>
      <c r="G23" s="186">
        <f>H23*H10*12</f>
        <v>1200</v>
      </c>
      <c r="H23" s="49">
        <v>100</v>
      </c>
      <c r="I23" s="46">
        <f>H23*2*12</f>
        <v>2400</v>
      </c>
      <c r="J23" s="281">
        <f t="shared" si="1"/>
        <v>1200</v>
      </c>
    </row>
    <row r="24" spans="1:10" ht="15" customHeight="1" x14ac:dyDescent="0.25">
      <c r="A24" s="106" t="s">
        <v>30</v>
      </c>
      <c r="B24" s="90"/>
      <c r="C24" s="71"/>
      <c r="D24" s="87"/>
      <c r="E24" s="71"/>
      <c r="F24" s="87"/>
      <c r="G24" s="185"/>
      <c r="H24" s="49"/>
      <c r="I24" s="46">
        <f t="shared" si="0"/>
        <v>0</v>
      </c>
      <c r="J24" s="281">
        <f t="shared" si="1"/>
        <v>0</v>
      </c>
    </row>
    <row r="25" spans="1:10" ht="15" customHeight="1" x14ac:dyDescent="0.25">
      <c r="A25" s="108" t="s">
        <v>31</v>
      </c>
      <c r="B25" s="91" t="s">
        <v>32</v>
      </c>
      <c r="C25" s="72"/>
      <c r="D25" s="88"/>
      <c r="E25" s="72"/>
      <c r="F25" s="88"/>
      <c r="G25" s="186"/>
      <c r="H25" s="49"/>
      <c r="I25" s="46">
        <f t="shared" si="0"/>
        <v>0</v>
      </c>
      <c r="J25" s="281">
        <f t="shared" si="1"/>
        <v>0</v>
      </c>
    </row>
    <row r="26" spans="1:10" ht="15" customHeight="1" x14ac:dyDescent="0.25">
      <c r="A26" s="108" t="s">
        <v>30</v>
      </c>
      <c r="B26" s="91" t="s">
        <v>33</v>
      </c>
      <c r="C26" s="72"/>
      <c r="D26" s="88"/>
      <c r="E26" s="72"/>
      <c r="F26" s="88"/>
      <c r="G26" s="186"/>
      <c r="H26" s="49"/>
      <c r="I26" s="46">
        <f t="shared" si="0"/>
        <v>0</v>
      </c>
      <c r="J26" s="281">
        <f t="shared" si="1"/>
        <v>0</v>
      </c>
    </row>
    <row r="27" spans="1:10" ht="15" customHeight="1" x14ac:dyDescent="0.25">
      <c r="A27" s="110" t="s">
        <v>332</v>
      </c>
      <c r="B27" s="91"/>
      <c r="C27" s="72"/>
      <c r="D27" s="88"/>
      <c r="E27" s="72"/>
      <c r="F27" s="88"/>
      <c r="G27" s="186">
        <f>G17</f>
        <v>88997.400000000009</v>
      </c>
      <c r="I27" s="46">
        <f>I12/12</f>
        <v>88997.400000000009</v>
      </c>
      <c r="J27" s="281">
        <f t="shared" si="1"/>
        <v>0</v>
      </c>
    </row>
    <row r="28" spans="1:10" ht="15" customHeight="1" x14ac:dyDescent="0.25">
      <c r="A28" s="110" t="s">
        <v>333</v>
      </c>
      <c r="B28" s="91"/>
      <c r="C28" s="72"/>
      <c r="D28" s="88"/>
      <c r="E28" s="72"/>
      <c r="F28" s="88"/>
      <c r="G28" s="186">
        <f>H28*H10</f>
        <v>5000</v>
      </c>
      <c r="H28" s="49">
        <v>5000</v>
      </c>
      <c r="I28" s="46">
        <f>H28*2</f>
        <v>10000</v>
      </c>
      <c r="J28" s="281">
        <f t="shared" si="1"/>
        <v>5000</v>
      </c>
    </row>
    <row r="29" spans="1:10" ht="30" customHeight="1" x14ac:dyDescent="0.25">
      <c r="A29" s="149" t="s">
        <v>461</v>
      </c>
      <c r="B29" s="97"/>
      <c r="C29" s="86"/>
      <c r="D29" s="98"/>
      <c r="E29" s="86"/>
      <c r="F29" s="98"/>
      <c r="G29" s="190">
        <f>H29*H10</f>
        <v>10000</v>
      </c>
      <c r="H29" s="49">
        <v>10000</v>
      </c>
      <c r="I29" s="46">
        <f>H29*2</f>
        <v>20000</v>
      </c>
      <c r="J29" s="281">
        <f t="shared" si="1"/>
        <v>10000</v>
      </c>
    </row>
    <row r="30" spans="1:10" ht="15" customHeight="1" x14ac:dyDescent="0.25">
      <c r="A30" s="99" t="s">
        <v>34</v>
      </c>
      <c r="B30" s="100"/>
      <c r="C30" s="101">
        <f>SUM(C10:C29)</f>
        <v>0</v>
      </c>
      <c r="D30" s="101">
        <f>SUM(D10:D29)</f>
        <v>0</v>
      </c>
      <c r="E30" s="101">
        <f>SUM(E10:E29)</f>
        <v>0</v>
      </c>
      <c r="F30" s="101">
        <f>SUM(F10:F29)</f>
        <v>0</v>
      </c>
      <c r="G30" s="101">
        <f>SUM(G10:G29)</f>
        <v>1451119.8559999999</v>
      </c>
      <c r="I30" s="51">
        <f>SUM(I12:I29)</f>
        <v>1504119.8559999999</v>
      </c>
      <c r="J30" s="281">
        <f>I30-SOLIDWASTE_PS</f>
        <v>53000</v>
      </c>
    </row>
    <row r="31" spans="1:10" ht="15" customHeight="1" x14ac:dyDescent="0.25">
      <c r="A31" s="187" t="s">
        <v>35</v>
      </c>
      <c r="B31" s="93"/>
      <c r="C31" s="188"/>
      <c r="D31" s="94"/>
      <c r="E31" s="188"/>
      <c r="F31" s="94"/>
      <c r="G31" s="189"/>
    </row>
    <row r="32" spans="1:10" ht="15" customHeight="1" x14ac:dyDescent="0.25">
      <c r="A32" s="106" t="s">
        <v>58</v>
      </c>
      <c r="B32" s="90"/>
      <c r="C32" s="71"/>
      <c r="D32" s="87"/>
      <c r="E32" s="71"/>
      <c r="F32" s="87"/>
      <c r="G32" s="192"/>
    </row>
    <row r="33" spans="1:8" ht="15" customHeight="1" x14ac:dyDescent="0.25">
      <c r="A33" s="138" t="s">
        <v>61</v>
      </c>
      <c r="B33" s="97" t="s">
        <v>62</v>
      </c>
      <c r="C33" s="86"/>
      <c r="D33" s="98"/>
      <c r="E33" s="86"/>
      <c r="F33" s="98"/>
      <c r="G33" s="190">
        <v>36000</v>
      </c>
    </row>
    <row r="34" spans="1:8" ht="30" customHeight="1" x14ac:dyDescent="0.25">
      <c r="A34" s="99" t="s">
        <v>86</v>
      </c>
      <c r="B34" s="100"/>
      <c r="C34" s="101">
        <f>SUM(C31:C33)</f>
        <v>0</v>
      </c>
      <c r="D34" s="101">
        <f>SUM(D31:D33)</f>
        <v>0</v>
      </c>
      <c r="E34" s="101">
        <f>SUM(E31:E33)</f>
        <v>0</v>
      </c>
      <c r="F34" s="101">
        <f>SUM(F31:F33)</f>
        <v>0</v>
      </c>
      <c r="G34" s="101">
        <f>SUM(G31:G33)</f>
        <v>36000</v>
      </c>
      <c r="H34" s="46">
        <f>G34+16400000</f>
        <v>16436000</v>
      </c>
    </row>
    <row r="35" spans="1:8" ht="15" customHeight="1" x14ac:dyDescent="0.25">
      <c r="A35" s="194" t="s">
        <v>88</v>
      </c>
      <c r="B35" s="195"/>
      <c r="C35" s="85"/>
      <c r="D35" s="196"/>
      <c r="E35" s="85"/>
      <c r="F35" s="196"/>
      <c r="G35" s="197"/>
    </row>
    <row r="36" spans="1:8" ht="15" customHeight="1" x14ac:dyDescent="0.25">
      <c r="A36" s="99" t="s">
        <v>112</v>
      </c>
      <c r="B36" s="191"/>
      <c r="C36" s="101">
        <f>SUM(C35:C35)</f>
        <v>0</v>
      </c>
      <c r="D36" s="101">
        <f>SUM(D35:D35)</f>
        <v>0</v>
      </c>
      <c r="E36" s="101">
        <f>SUM(E35:E35)</f>
        <v>0</v>
      </c>
      <c r="F36" s="101">
        <f>SUM(F35:F35)</f>
        <v>0</v>
      </c>
      <c r="G36" s="101">
        <f>SUM(G35)</f>
        <v>0</v>
      </c>
    </row>
    <row r="37" spans="1:8" ht="15" customHeight="1" x14ac:dyDescent="0.25">
      <c r="A37" s="102" t="s">
        <v>113</v>
      </c>
      <c r="B37" s="193"/>
      <c r="C37" s="103">
        <f>C30+C34+C36</f>
        <v>0</v>
      </c>
      <c r="D37" s="103">
        <f>D30+D34+D36</f>
        <v>0</v>
      </c>
      <c r="E37" s="103">
        <f>E30+E34+E36</f>
        <v>0</v>
      </c>
      <c r="F37" s="103">
        <f>F30+F34+F36</f>
        <v>0</v>
      </c>
      <c r="G37" s="103">
        <f>G30+G34+G36</f>
        <v>1487119.8559999999</v>
      </c>
    </row>
    <row r="45" spans="1:8" x14ac:dyDescent="0.25">
      <c r="C45" s="41">
        <v>322824.65999999997</v>
      </c>
    </row>
  </sheetData>
  <mergeCells count="9">
    <mergeCell ref="A1:G1"/>
    <mergeCell ref="A2:G2"/>
    <mergeCell ref="A3:G3"/>
    <mergeCell ref="A4:G4"/>
    <mergeCell ref="A6:A8"/>
    <mergeCell ref="B6:B8"/>
    <mergeCell ref="C6:C8"/>
    <mergeCell ref="D6:F7"/>
    <mergeCell ref="G6:G8"/>
  </mergeCells>
  <printOptions horizontalCentered="1"/>
  <pageMargins left="0.23622047244094499" right="0.23622047244094499" top="0.49803149600000002" bottom="0.74803149606299202" header="0.31496062992126" footer="0.31496062992126"/>
  <pageSetup paperSize="10000" scale="80" firstPageNumber="34" fitToHeight="0" orientation="portrait" horizontalDpi="360" verticalDpi="360" r:id="rId1"/>
  <headerFooter scaleWithDoc="0">
    <oddFooter>&amp;C&amp;"Candara,Bold"&amp;10&amp;P&amp;"Candara,Regular" &amp;"Candara,Bold"&amp;K000000|&amp;"Candara,Regular"&amp;K00-047 P a g e</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04"/>
  <sheetViews>
    <sheetView view="pageBreakPreview" topLeftCell="A4" zoomScale="85" zoomScaleNormal="150" zoomScaleSheetLayoutView="85" workbookViewId="0">
      <pane xSplit="2" ySplit="5" topLeftCell="C30"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3.7109375" style="41" bestFit="1" customWidth="1"/>
    <col min="9" max="9" width="14.42578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457</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50"/>
    </row>
    <row r="7" spans="1:9" s="43" customFormat="1" ht="12" x14ac:dyDescent="0.2">
      <c r="A7" s="1099"/>
      <c r="B7" s="1099"/>
      <c r="C7" s="1099"/>
      <c r="D7" s="1100"/>
      <c r="E7" s="1100"/>
      <c r="F7" s="1100"/>
      <c r="G7" s="1099"/>
      <c r="H7" s="358"/>
      <c r="I7" s="1050"/>
    </row>
    <row r="8" spans="1:9" s="43" customFormat="1" ht="24" x14ac:dyDescent="0.2">
      <c r="A8" s="1099"/>
      <c r="B8" s="1099"/>
      <c r="C8" s="1099"/>
      <c r="D8" s="359" t="s">
        <v>308</v>
      </c>
      <c r="E8" s="359" t="s">
        <v>309</v>
      </c>
      <c r="F8" s="359" t="s">
        <v>3</v>
      </c>
      <c r="G8" s="1099"/>
      <c r="H8" s="358"/>
      <c r="I8" s="1050"/>
    </row>
    <row r="9" spans="1:9" s="70" customFormat="1" ht="11.25" x14ac:dyDescent="0.25">
      <c r="A9" s="360">
        <v>1</v>
      </c>
      <c r="B9" s="360">
        <v>2</v>
      </c>
      <c r="C9" s="360">
        <v>3</v>
      </c>
      <c r="D9" s="360">
        <v>4</v>
      </c>
      <c r="E9" s="360">
        <v>5</v>
      </c>
      <c r="F9" s="360">
        <v>6</v>
      </c>
      <c r="G9" s="360">
        <v>7</v>
      </c>
      <c r="H9" s="423" t="s">
        <v>497</v>
      </c>
      <c r="I9" s="1051"/>
    </row>
    <row r="10" spans="1:9" ht="15" customHeight="1" x14ac:dyDescent="0.25">
      <c r="A10" s="429" t="s">
        <v>4</v>
      </c>
      <c r="B10" s="362"/>
      <c r="C10" s="430"/>
      <c r="D10" s="363"/>
      <c r="E10" s="430"/>
      <c r="F10" s="363"/>
      <c r="G10" s="431"/>
      <c r="H10" s="18">
        <v>1</v>
      </c>
      <c r="I10" s="402"/>
    </row>
    <row r="11" spans="1:9" ht="15" customHeight="1" x14ac:dyDescent="0.25">
      <c r="A11" s="403" t="s">
        <v>5</v>
      </c>
      <c r="B11" s="365"/>
      <c r="C11" s="404"/>
      <c r="D11" s="366"/>
      <c r="E11" s="404"/>
      <c r="F11" s="366"/>
      <c r="G11" s="405"/>
      <c r="H11" s="16"/>
      <c r="I11" s="402"/>
    </row>
    <row r="12" spans="1:9" ht="15" customHeight="1" x14ac:dyDescent="0.25">
      <c r="A12" s="373" t="str">
        <f>"Salaries and Wages - Regular (" &amp; H10 &amp; ")"</f>
        <v>Salaries and Wages - Regular (1)</v>
      </c>
      <c r="B12" s="352" t="s">
        <v>6</v>
      </c>
      <c r="C12" s="406">
        <v>733014.67</v>
      </c>
      <c r="D12" s="369">
        <v>544254</v>
      </c>
      <c r="E12" s="406">
        <f>F12-D12</f>
        <v>630506.40000000014</v>
      </c>
      <c r="F12" s="369">
        <v>1174760.4000000001</v>
      </c>
      <c r="G12" s="408">
        <f>H12+I12</f>
        <v>1209358.8</v>
      </c>
      <c r="H12" s="438">
        <v>1197358.8</v>
      </c>
      <c r="I12" s="402">
        <f>I14/2</f>
        <v>12000</v>
      </c>
    </row>
    <row r="13" spans="1:9" ht="15" customHeight="1" x14ac:dyDescent="0.25">
      <c r="A13" s="403" t="s">
        <v>7</v>
      </c>
      <c r="B13" s="365"/>
      <c r="C13" s="404"/>
      <c r="D13" s="366"/>
      <c r="E13" s="404"/>
      <c r="F13" s="366"/>
      <c r="G13" s="405"/>
      <c r="H13" s="16"/>
      <c r="I13" s="402"/>
    </row>
    <row r="14" spans="1:9" ht="15" customHeight="1" x14ac:dyDescent="0.25">
      <c r="A14" s="373" t="s">
        <v>8</v>
      </c>
      <c r="B14" s="352" t="s">
        <v>9</v>
      </c>
      <c r="C14" s="406">
        <v>12000</v>
      </c>
      <c r="D14" s="369">
        <v>12000</v>
      </c>
      <c r="E14" s="406">
        <f t="shared" ref="E14:E24" si="0">F14-D14</f>
        <v>12000</v>
      </c>
      <c r="F14" s="369">
        <v>24000</v>
      </c>
      <c r="G14" s="408">
        <f>param_pera*PESO_PLATILLA_ITEMS*12</f>
        <v>24000</v>
      </c>
      <c r="H14" s="440"/>
      <c r="I14" s="402">
        <v>24000</v>
      </c>
    </row>
    <row r="15" spans="1:9" ht="15" customHeight="1" x14ac:dyDescent="0.25">
      <c r="A15" s="373" t="s">
        <v>11</v>
      </c>
      <c r="B15" s="352" t="s">
        <v>12</v>
      </c>
      <c r="C15" s="406">
        <v>47250</v>
      </c>
      <c r="D15" s="369">
        <v>33750</v>
      </c>
      <c r="E15" s="406">
        <f t="shared" si="0"/>
        <v>47250</v>
      </c>
      <c r="F15" s="369">
        <v>81000</v>
      </c>
      <c r="G15" s="408">
        <f>H15*12</f>
        <v>81000</v>
      </c>
      <c r="H15" s="440">
        <v>6750</v>
      </c>
      <c r="I15" s="393"/>
    </row>
    <row r="16" spans="1:9" ht="15" customHeight="1" x14ac:dyDescent="0.25">
      <c r="A16" s="373" t="s">
        <v>13</v>
      </c>
      <c r="B16" s="352" t="s">
        <v>14</v>
      </c>
      <c r="C16" s="406">
        <v>47250</v>
      </c>
      <c r="D16" s="369">
        <v>33750</v>
      </c>
      <c r="E16" s="406">
        <f t="shared" si="0"/>
        <v>47250</v>
      </c>
      <c r="F16" s="369">
        <v>81000</v>
      </c>
      <c r="G16" s="408">
        <f>H16*12</f>
        <v>81000</v>
      </c>
      <c r="H16" s="440">
        <v>6750</v>
      </c>
      <c r="I16" s="393"/>
    </row>
    <row r="17" spans="1:12" ht="15" customHeight="1" x14ac:dyDescent="0.25">
      <c r="A17" s="373" t="s">
        <v>15</v>
      </c>
      <c r="B17" s="352" t="s">
        <v>16</v>
      </c>
      <c r="C17" s="406"/>
      <c r="D17" s="369">
        <v>6000</v>
      </c>
      <c r="E17" s="406">
        <f t="shared" si="0"/>
        <v>0</v>
      </c>
      <c r="F17" s="369">
        <v>6000</v>
      </c>
      <c r="G17" s="408">
        <f>param_uniform*PESO_PLATILLA_ITEMS</f>
        <v>6000</v>
      </c>
      <c r="H17" s="440"/>
      <c r="I17" s="402"/>
    </row>
    <row r="18" spans="1:12" ht="15" customHeight="1" x14ac:dyDescent="0.25">
      <c r="A18" s="373" t="s">
        <v>17</v>
      </c>
      <c r="B18" s="352" t="s">
        <v>18</v>
      </c>
      <c r="C18" s="406">
        <v>88997</v>
      </c>
      <c r="D18" s="369"/>
      <c r="E18" s="406">
        <f t="shared" si="0"/>
        <v>97896.700000000012</v>
      </c>
      <c r="F18" s="369">
        <v>97896.700000000012</v>
      </c>
      <c r="G18" s="408">
        <f>H12/12+I18</f>
        <v>105779.90000000001</v>
      </c>
      <c r="H18" s="16"/>
      <c r="I18" s="402">
        <f>I14/4</f>
        <v>6000</v>
      </c>
    </row>
    <row r="19" spans="1:12" ht="15" customHeight="1" x14ac:dyDescent="0.25">
      <c r="A19" s="373" t="s">
        <v>19</v>
      </c>
      <c r="B19" s="352" t="s">
        <v>20</v>
      </c>
      <c r="C19" s="406">
        <v>5000</v>
      </c>
      <c r="D19" s="369"/>
      <c r="E19" s="406">
        <f t="shared" si="0"/>
        <v>5000</v>
      </c>
      <c r="F19" s="369">
        <v>5000</v>
      </c>
      <c r="G19" s="408">
        <f>param_cash_gift*PESO_PLATILLA_ITEMS</f>
        <v>5000</v>
      </c>
      <c r="H19" s="440"/>
      <c r="I19" s="402"/>
    </row>
    <row r="20" spans="1:12" ht="15" customHeight="1" x14ac:dyDescent="0.25">
      <c r="A20" s="403" t="s">
        <v>21</v>
      </c>
      <c r="B20" s="365"/>
      <c r="C20" s="404"/>
      <c r="D20" s="366"/>
      <c r="E20" s="404"/>
      <c r="F20" s="366"/>
      <c r="G20" s="405"/>
      <c r="H20" s="16"/>
      <c r="I20" s="402"/>
      <c r="L20" s="41" t="s">
        <v>610</v>
      </c>
    </row>
    <row r="21" spans="1:12" ht="15" customHeight="1" x14ac:dyDescent="0.25">
      <c r="A21" s="373" t="s">
        <v>22</v>
      </c>
      <c r="B21" s="352" t="s">
        <v>23</v>
      </c>
      <c r="C21" s="406">
        <v>87961.76</v>
      </c>
      <c r="D21" s="369">
        <v>65310.48</v>
      </c>
      <c r="E21" s="406">
        <f t="shared" si="0"/>
        <v>75660.768000000011</v>
      </c>
      <c r="F21" s="369">
        <v>140971.24800000002</v>
      </c>
      <c r="G21" s="408">
        <f>H12*12%</f>
        <v>143683.05600000001</v>
      </c>
      <c r="H21" s="16"/>
      <c r="I21" s="402"/>
    </row>
    <row r="22" spans="1:12" ht="15" customHeight="1" x14ac:dyDescent="0.25">
      <c r="A22" s="373" t="s">
        <v>24</v>
      </c>
      <c r="B22" s="352" t="s">
        <v>25</v>
      </c>
      <c r="C22" s="406">
        <v>600</v>
      </c>
      <c r="D22" s="369">
        <v>600</v>
      </c>
      <c r="E22" s="406">
        <f t="shared" si="0"/>
        <v>1200</v>
      </c>
      <c r="F22" s="369">
        <v>1800</v>
      </c>
      <c r="G22" s="408">
        <f>param_pagibig*PESO_PLATILLA_ITEMS*12</f>
        <v>1800</v>
      </c>
      <c r="H22" s="440"/>
      <c r="I22" s="402"/>
    </row>
    <row r="23" spans="1:12" ht="15" customHeight="1" x14ac:dyDescent="0.25">
      <c r="A23" s="373" t="s">
        <v>26</v>
      </c>
      <c r="B23" s="352" t="s">
        <v>27</v>
      </c>
      <c r="C23" s="406">
        <v>5400</v>
      </c>
      <c r="D23" s="369">
        <v>9600</v>
      </c>
      <c r="E23" s="406">
        <f t="shared" si="0"/>
        <v>10400</v>
      </c>
      <c r="F23" s="369">
        <v>20000</v>
      </c>
      <c r="G23" s="408">
        <f>ROUND(H23+(H23*0.1), -1)</f>
        <v>21120</v>
      </c>
      <c r="H23" s="440">
        <v>19200</v>
      </c>
      <c r="I23" s="402"/>
    </row>
    <row r="24" spans="1:12" ht="15" customHeight="1" x14ac:dyDescent="0.25">
      <c r="A24" s="373" t="s">
        <v>28</v>
      </c>
      <c r="B24" s="352" t="s">
        <v>29</v>
      </c>
      <c r="C24" s="406">
        <v>600</v>
      </c>
      <c r="D24" s="369">
        <v>600</v>
      </c>
      <c r="E24" s="406">
        <f t="shared" si="0"/>
        <v>1200</v>
      </c>
      <c r="F24" s="369">
        <v>1800</v>
      </c>
      <c r="G24" s="408">
        <f>param_ecc*PESO_PLATILLA_ITEMS*12</f>
        <v>1800</v>
      </c>
      <c r="H24" s="440"/>
      <c r="I24" s="402"/>
    </row>
    <row r="25" spans="1:12" ht="15" customHeight="1" x14ac:dyDescent="0.25">
      <c r="A25" s="403" t="s">
        <v>30</v>
      </c>
      <c r="B25" s="365"/>
      <c r="C25" s="404"/>
      <c r="D25" s="366"/>
      <c r="E25" s="404"/>
      <c r="F25" s="366"/>
      <c r="G25" s="405"/>
      <c r="H25" s="16"/>
      <c r="I25" s="402"/>
    </row>
    <row r="26" spans="1:12" ht="15" customHeight="1" x14ac:dyDescent="0.25">
      <c r="A26" s="373" t="s">
        <v>30</v>
      </c>
      <c r="B26" s="352" t="s">
        <v>33</v>
      </c>
      <c r="C26" s="406"/>
      <c r="D26" s="369"/>
      <c r="E26" s="406"/>
      <c r="F26" s="369"/>
      <c r="G26" s="408"/>
      <c r="H26" s="446">
        <f>SUM(G26:G33)</f>
        <v>115779.90000000001</v>
      </c>
      <c r="I26" s="402"/>
    </row>
    <row r="27" spans="1:12" ht="15" customHeight="1" x14ac:dyDescent="0.25">
      <c r="A27" s="434" t="s">
        <v>332</v>
      </c>
      <c r="B27" s="352"/>
      <c r="C27" s="406"/>
      <c r="D27" s="369">
        <v>90709</v>
      </c>
      <c r="E27" s="406">
        <f t="shared" ref="E27:E30" si="1">F27-D27</f>
        <v>7187.7000000000116</v>
      </c>
      <c r="F27" s="369">
        <v>97896.700000000012</v>
      </c>
      <c r="G27" s="408">
        <f>H12/12+I27</f>
        <v>105779.90000000001</v>
      </c>
      <c r="H27" s="16"/>
      <c r="I27" s="402">
        <f>I14/4</f>
        <v>6000</v>
      </c>
    </row>
    <row r="28" spans="1:12" ht="15" customHeight="1" x14ac:dyDescent="0.25">
      <c r="A28" s="434" t="s">
        <v>333</v>
      </c>
      <c r="B28" s="352"/>
      <c r="C28" s="406">
        <v>5000</v>
      </c>
      <c r="D28" s="369"/>
      <c r="E28" s="406">
        <f t="shared" si="1"/>
        <v>5000</v>
      </c>
      <c r="F28" s="369">
        <v>5000</v>
      </c>
      <c r="G28" s="408">
        <f>param_pei*PESO_PLATILLA_ITEMS</f>
        <v>5000</v>
      </c>
      <c r="H28" s="440"/>
      <c r="I28" s="402"/>
    </row>
    <row r="29" spans="1:12" ht="30" customHeight="1" x14ac:dyDescent="0.25">
      <c r="A29" s="441" t="s">
        <v>649</v>
      </c>
      <c r="B29" s="442"/>
      <c r="C29" s="443"/>
      <c r="D29" s="369"/>
      <c r="E29" s="406">
        <f t="shared" si="1"/>
        <v>5000</v>
      </c>
      <c r="F29" s="444">
        <v>5000</v>
      </c>
      <c r="G29" s="387">
        <f>param_pbb*PESO_PLATILLA_ITEMS</f>
        <v>5000</v>
      </c>
      <c r="H29" s="440"/>
      <c r="I29" s="402"/>
    </row>
    <row r="30" spans="1:12" ht="15" customHeight="1" x14ac:dyDescent="0.25">
      <c r="A30" s="434" t="s">
        <v>334</v>
      </c>
      <c r="B30" s="352"/>
      <c r="C30" s="406"/>
      <c r="D30" s="369"/>
      <c r="E30" s="406">
        <f t="shared" si="1"/>
        <v>0</v>
      </c>
      <c r="F30" s="369"/>
      <c r="G30" s="408"/>
      <c r="H30" s="519"/>
    </row>
    <row r="31" spans="1:12" ht="15" customHeight="1" x14ac:dyDescent="0.25">
      <c r="A31" s="513" t="s">
        <v>650</v>
      </c>
      <c r="B31" s="479"/>
      <c r="C31" s="381">
        <v>25000</v>
      </c>
      <c r="D31" s="381"/>
      <c r="E31" s="381"/>
      <c r="F31" s="381"/>
      <c r="G31" s="381"/>
      <c r="H31" s="375"/>
    </row>
    <row r="32" spans="1:12" ht="15" customHeight="1" x14ac:dyDescent="0.25">
      <c r="A32" s="376" t="s">
        <v>652</v>
      </c>
      <c r="B32" s="352"/>
      <c r="C32" s="369"/>
      <c r="D32" s="369"/>
      <c r="E32" s="369"/>
      <c r="F32" s="369"/>
      <c r="G32" s="369"/>
      <c r="H32" s="375"/>
    </row>
    <row r="33" spans="1:9" ht="15" customHeight="1" x14ac:dyDescent="0.25">
      <c r="A33" s="378" t="s">
        <v>653</v>
      </c>
      <c r="B33" s="379"/>
      <c r="C33" s="380">
        <v>10000</v>
      </c>
      <c r="D33" s="380"/>
      <c r="E33" s="381"/>
      <c r="F33" s="380"/>
      <c r="G33" s="380"/>
      <c r="H33" s="375"/>
    </row>
    <row r="34" spans="1:9" ht="15" customHeight="1" x14ac:dyDescent="0.25">
      <c r="A34" s="396" t="s">
        <v>34</v>
      </c>
      <c r="B34" s="397"/>
      <c r="C34" s="398">
        <f>SUM(C11:C33)</f>
        <v>1068073.4300000002</v>
      </c>
      <c r="D34" s="398">
        <f t="shared" ref="D34:F34" si="2">SUM(D11:D33)</f>
        <v>796573.48</v>
      </c>
      <c r="E34" s="398">
        <f t="shared" si="2"/>
        <v>945551.5680000002</v>
      </c>
      <c r="F34" s="398">
        <f t="shared" si="2"/>
        <v>1742125.0480000002</v>
      </c>
      <c r="G34" s="398">
        <f>SUM(G11:G33)</f>
        <v>1796321.656</v>
      </c>
      <c r="H34" s="445">
        <f>SUM(G27:G29)</f>
        <v>115779.90000000001</v>
      </c>
      <c r="I34" s="402"/>
    </row>
    <row r="35" spans="1:9" ht="15" customHeight="1" x14ac:dyDescent="0.25">
      <c r="A35" s="429" t="s">
        <v>35</v>
      </c>
      <c r="B35" s="362"/>
      <c r="C35" s="430"/>
      <c r="D35" s="363"/>
      <c r="E35" s="430"/>
      <c r="F35" s="363"/>
      <c r="G35" s="431"/>
      <c r="H35" s="16"/>
      <c r="I35" s="402"/>
    </row>
    <row r="36" spans="1:9" ht="15" customHeight="1" x14ac:dyDescent="0.25">
      <c r="A36" s="403" t="s">
        <v>58</v>
      </c>
      <c r="B36" s="365"/>
      <c r="C36" s="404"/>
      <c r="D36" s="366"/>
      <c r="E36" s="406"/>
      <c r="F36" s="366"/>
      <c r="G36" s="366"/>
      <c r="H36" s="16"/>
      <c r="I36" s="402"/>
    </row>
    <row r="37" spans="1:9" ht="15" customHeight="1" x14ac:dyDescent="0.25">
      <c r="A37" s="373" t="s">
        <v>61</v>
      </c>
      <c r="B37" s="352" t="s">
        <v>62</v>
      </c>
      <c r="C37" s="406">
        <v>18200</v>
      </c>
      <c r="D37" s="369">
        <v>18000</v>
      </c>
      <c r="E37" s="406">
        <f t="shared" ref="E37:E38" si="3">F37-D37</f>
        <v>18000</v>
      </c>
      <c r="F37" s="369">
        <v>36000</v>
      </c>
      <c r="G37" s="369">
        <v>36000</v>
      </c>
      <c r="H37" s="16"/>
      <c r="I37" s="402"/>
    </row>
    <row r="38" spans="1:9" ht="15" customHeight="1" x14ac:dyDescent="0.25">
      <c r="A38" s="472" t="s">
        <v>63</v>
      </c>
      <c r="B38" s="442" t="s">
        <v>64</v>
      </c>
      <c r="C38" s="443">
        <v>9640</v>
      </c>
      <c r="D38" s="444">
        <v>7500</v>
      </c>
      <c r="E38" s="443">
        <f t="shared" si="3"/>
        <v>28500</v>
      </c>
      <c r="F38" s="444">
        <v>36000</v>
      </c>
      <c r="G38" s="444">
        <v>18000</v>
      </c>
      <c r="H38" s="16"/>
      <c r="I38" s="402"/>
    </row>
    <row r="39" spans="1:9" ht="15" customHeight="1" x14ac:dyDescent="0.25">
      <c r="A39" s="403" t="s">
        <v>55</v>
      </c>
      <c r="B39" s="365"/>
      <c r="C39" s="404"/>
      <c r="D39" s="366"/>
      <c r="E39" s="404"/>
      <c r="F39" s="366"/>
      <c r="G39" s="405"/>
      <c r="H39" s="16"/>
      <c r="I39" s="402"/>
    </row>
    <row r="40" spans="1:9" ht="15" customHeight="1" x14ac:dyDescent="0.25">
      <c r="A40" s="373" t="s">
        <v>56</v>
      </c>
      <c r="B40" s="352" t="s">
        <v>57</v>
      </c>
      <c r="C40" s="404"/>
      <c r="D40" s="366"/>
      <c r="E40" s="404"/>
      <c r="F40" s="366"/>
      <c r="G40" s="444">
        <v>4000</v>
      </c>
      <c r="H40" s="16"/>
      <c r="I40" s="402"/>
    </row>
    <row r="41" spans="1:9" ht="15" customHeight="1" x14ac:dyDescent="0.25">
      <c r="A41" s="403" t="s">
        <v>42</v>
      </c>
      <c r="B41" s="365"/>
      <c r="C41" s="404"/>
      <c r="D41" s="366"/>
      <c r="E41" s="404"/>
      <c r="F41" s="366"/>
      <c r="G41" s="623"/>
      <c r="H41" s="16"/>
      <c r="I41" s="402"/>
    </row>
    <row r="42" spans="1:9" ht="30" customHeight="1" x14ac:dyDescent="0.25">
      <c r="A42" s="373" t="s">
        <v>42</v>
      </c>
      <c r="B42" s="352" t="s">
        <v>176</v>
      </c>
      <c r="C42" s="406"/>
      <c r="D42" s="369"/>
      <c r="E42" s="406">
        <f t="shared" ref="E42" si="4">F42-D42</f>
        <v>50000</v>
      </c>
      <c r="F42" s="369">
        <v>50000</v>
      </c>
      <c r="G42" s="369">
        <v>6000</v>
      </c>
      <c r="H42" s="16"/>
      <c r="I42" s="402"/>
    </row>
    <row r="43" spans="1:9" ht="30" customHeight="1" x14ac:dyDescent="0.25">
      <c r="A43" s="396" t="s">
        <v>86</v>
      </c>
      <c r="B43" s="397"/>
      <c r="C43" s="398">
        <f>SUM(C37:C42)</f>
        <v>27840</v>
      </c>
      <c r="D43" s="398">
        <f>SUM(D37:D42)</f>
        <v>25500</v>
      </c>
      <c r="E43" s="398">
        <f>SUM(E37:E42)</f>
        <v>96500</v>
      </c>
      <c r="F43" s="398">
        <f>SUM(F37:F42)</f>
        <v>122000</v>
      </c>
      <c r="G43" s="398">
        <f>SUM(G37:G42)</f>
        <v>64000</v>
      </c>
      <c r="H43" s="788">
        <v>64000</v>
      </c>
      <c r="I43" s="402"/>
    </row>
    <row r="44" spans="1:9" ht="15" customHeight="1" x14ac:dyDescent="0.25">
      <c r="A44" s="424" t="s">
        <v>88</v>
      </c>
      <c r="B44" s="425"/>
      <c r="C44" s="426"/>
      <c r="D44" s="427"/>
      <c r="E44" s="426"/>
      <c r="F44" s="427"/>
      <c r="G44" s="711"/>
      <c r="H44" s="16"/>
      <c r="I44" s="402"/>
    </row>
    <row r="45" spans="1:9" ht="15" customHeight="1" x14ac:dyDescent="0.25">
      <c r="A45" s="396" t="s">
        <v>112</v>
      </c>
      <c r="B45" s="436"/>
      <c r="C45" s="398">
        <v>0</v>
      </c>
      <c r="D45" s="398">
        <v>0</v>
      </c>
      <c r="E45" s="398">
        <v>0</v>
      </c>
      <c r="F45" s="398">
        <v>0</v>
      </c>
      <c r="G45" s="398">
        <f>SUM(G44)</f>
        <v>0</v>
      </c>
      <c r="H45" s="16"/>
      <c r="I45" s="402"/>
    </row>
    <row r="46" spans="1:9" ht="15" customHeight="1" x14ac:dyDescent="0.25">
      <c r="A46" s="454" t="s">
        <v>113</v>
      </c>
      <c r="B46" s="437"/>
      <c r="C46" s="455">
        <f>C34+C43+C45</f>
        <v>1095913.4300000002</v>
      </c>
      <c r="D46" s="455">
        <f>D34+D43+D45</f>
        <v>822073.48</v>
      </c>
      <c r="E46" s="455">
        <f>E34+E43+E45</f>
        <v>1042051.5680000002</v>
      </c>
      <c r="F46" s="455">
        <f>F34+F43+F45</f>
        <v>1864125.0480000002</v>
      </c>
      <c r="G46" s="455">
        <f>G34+G43+G45</f>
        <v>1860321.656</v>
      </c>
      <c r="H46" s="16"/>
      <c r="I46" s="402"/>
    </row>
    <row r="47" spans="1:9" x14ac:dyDescent="0.25">
      <c r="A47" s="16"/>
      <c r="B47" s="16"/>
      <c r="C47" s="16"/>
      <c r="D47" s="16"/>
      <c r="E47" s="16"/>
      <c r="F47" s="16"/>
      <c r="G47" s="16"/>
      <c r="H47" s="16"/>
      <c r="I47" s="402"/>
    </row>
    <row r="48" spans="1:9" x14ac:dyDescent="0.25">
      <c r="A48" s="16"/>
      <c r="B48" s="16"/>
      <c r="C48" s="16"/>
      <c r="D48" s="16"/>
      <c r="E48" s="16"/>
      <c r="F48" s="16"/>
      <c r="G48" s="16"/>
      <c r="H48" s="16"/>
      <c r="I48" s="402"/>
    </row>
    <row r="49" spans="1:9" x14ac:dyDescent="0.25">
      <c r="A49" s="16"/>
      <c r="B49" s="16"/>
      <c r="C49" s="16"/>
      <c r="D49" s="16"/>
      <c r="E49" s="16"/>
      <c r="F49" s="16"/>
      <c r="G49" s="16"/>
      <c r="H49" s="16"/>
      <c r="I49" s="402"/>
    </row>
    <row r="50" spans="1:9" x14ac:dyDescent="0.25">
      <c r="A50" s="16"/>
      <c r="B50" s="16"/>
      <c r="C50" s="16"/>
      <c r="D50" s="16"/>
      <c r="E50" s="16"/>
      <c r="F50" s="16"/>
      <c r="G50" s="16"/>
      <c r="H50" s="16"/>
      <c r="I50" s="402"/>
    </row>
    <row r="51" spans="1:9" x14ac:dyDescent="0.25">
      <c r="A51" s="16"/>
      <c r="B51" s="16"/>
      <c r="C51" s="16"/>
      <c r="D51" s="16"/>
      <c r="E51" s="16"/>
      <c r="F51" s="16"/>
      <c r="G51" s="16"/>
      <c r="H51" s="16"/>
      <c r="I51" s="402"/>
    </row>
    <row r="52" spans="1:9" x14ac:dyDescent="0.25">
      <c r="A52" s="16"/>
      <c r="B52" s="16"/>
      <c r="C52" s="16"/>
      <c r="D52" s="16"/>
      <c r="E52" s="16"/>
      <c r="F52" s="16"/>
      <c r="G52" s="16"/>
      <c r="H52" s="16"/>
      <c r="I52" s="402"/>
    </row>
    <row r="53" spans="1:9" x14ac:dyDescent="0.25">
      <c r="A53" s="16"/>
      <c r="B53" s="16"/>
      <c r="C53" s="16"/>
      <c r="D53" s="16"/>
      <c r="E53" s="16"/>
      <c r="F53" s="16"/>
      <c r="G53" s="16"/>
      <c r="H53" s="16"/>
      <c r="I53" s="402"/>
    </row>
    <row r="54" spans="1:9" x14ac:dyDescent="0.25">
      <c r="A54" s="16"/>
      <c r="B54" s="16"/>
      <c r="C54" s="16"/>
      <c r="D54" s="16"/>
      <c r="E54" s="16"/>
      <c r="F54" s="16"/>
      <c r="G54" s="16"/>
      <c r="H54" s="16"/>
      <c r="I54" s="402"/>
    </row>
    <row r="55" spans="1:9" x14ac:dyDescent="0.25">
      <c r="A55" s="16"/>
      <c r="B55" s="16"/>
      <c r="C55" s="16"/>
      <c r="D55" s="16"/>
      <c r="E55" s="16"/>
      <c r="F55" s="16"/>
      <c r="G55" s="16"/>
      <c r="H55" s="16"/>
      <c r="I55" s="402"/>
    </row>
    <row r="56" spans="1:9" x14ac:dyDescent="0.25">
      <c r="A56" s="16"/>
      <c r="B56" s="16"/>
      <c r="C56" s="16"/>
      <c r="D56" s="16"/>
      <c r="E56" s="16"/>
      <c r="F56" s="16"/>
      <c r="G56" s="16"/>
      <c r="H56" s="16"/>
      <c r="I56" s="402"/>
    </row>
    <row r="57" spans="1:9" x14ac:dyDescent="0.25">
      <c r="A57" s="16"/>
      <c r="B57" s="16"/>
      <c r="C57" s="16"/>
      <c r="D57" s="16"/>
      <c r="E57" s="16"/>
      <c r="F57" s="16"/>
      <c r="G57" s="16"/>
      <c r="H57" s="16"/>
      <c r="I57" s="402"/>
    </row>
    <row r="58" spans="1:9" x14ac:dyDescent="0.25">
      <c r="A58" s="16"/>
      <c r="B58" s="16"/>
      <c r="C58" s="16"/>
      <c r="D58" s="16"/>
      <c r="E58" s="16"/>
      <c r="F58" s="16"/>
      <c r="G58" s="16"/>
      <c r="H58" s="16"/>
      <c r="I58" s="402"/>
    </row>
    <row r="59" spans="1:9" x14ac:dyDescent="0.25">
      <c r="A59" s="16"/>
      <c r="B59" s="16"/>
      <c r="C59" s="16"/>
      <c r="D59" s="16"/>
      <c r="E59" s="16"/>
      <c r="F59" s="16"/>
      <c r="G59" s="16"/>
      <c r="H59" s="16"/>
      <c r="I59" s="402"/>
    </row>
    <row r="60" spans="1:9" x14ac:dyDescent="0.25">
      <c r="A60" s="16"/>
      <c r="B60" s="16"/>
      <c r="C60" s="16"/>
      <c r="D60" s="16"/>
      <c r="E60" s="16"/>
      <c r="F60" s="16"/>
      <c r="G60" s="16"/>
      <c r="H60" s="16"/>
      <c r="I60" s="402"/>
    </row>
    <row r="61" spans="1:9" x14ac:dyDescent="0.25">
      <c r="A61" s="16"/>
      <c r="B61" s="16"/>
      <c r="C61" s="16"/>
      <c r="D61" s="16"/>
      <c r="E61" s="16"/>
      <c r="F61" s="16"/>
      <c r="G61" s="16"/>
      <c r="H61" s="16"/>
      <c r="I61" s="402"/>
    </row>
    <row r="62" spans="1:9" x14ac:dyDescent="0.25">
      <c r="A62" s="16"/>
      <c r="B62" s="16"/>
      <c r="C62" s="16"/>
      <c r="D62" s="16"/>
      <c r="E62" s="16"/>
      <c r="F62" s="16"/>
      <c r="G62" s="16"/>
      <c r="H62" s="16"/>
      <c r="I62" s="402"/>
    </row>
    <row r="63" spans="1:9" x14ac:dyDescent="0.25">
      <c r="A63" s="16"/>
      <c r="B63" s="16"/>
      <c r="C63" s="16"/>
      <c r="D63" s="16"/>
      <c r="E63" s="16"/>
      <c r="F63" s="16"/>
      <c r="G63" s="16"/>
      <c r="H63" s="16"/>
      <c r="I63" s="402"/>
    </row>
    <row r="64" spans="1:9" x14ac:dyDescent="0.25">
      <c r="A64" s="16"/>
      <c r="B64" s="16"/>
      <c r="C64" s="16"/>
      <c r="D64" s="16"/>
      <c r="E64" s="16"/>
      <c r="F64" s="16"/>
      <c r="G64" s="16"/>
      <c r="H64" s="16"/>
      <c r="I64" s="402"/>
    </row>
    <row r="65" spans="1:9" x14ac:dyDescent="0.25">
      <c r="A65" s="16"/>
      <c r="B65" s="16"/>
      <c r="C65" s="16"/>
      <c r="D65" s="16"/>
      <c r="E65" s="16"/>
      <c r="F65" s="16"/>
      <c r="G65" s="16"/>
      <c r="H65" s="16"/>
      <c r="I65" s="402"/>
    </row>
    <row r="66" spans="1:9" x14ac:dyDescent="0.25">
      <c r="A66" s="16"/>
      <c r="B66" s="16"/>
      <c r="C66" s="16"/>
      <c r="D66" s="16"/>
      <c r="E66" s="16"/>
      <c r="F66" s="16"/>
      <c r="G66" s="16"/>
      <c r="H66" s="16"/>
      <c r="I66" s="402"/>
    </row>
    <row r="67" spans="1:9" x14ac:dyDescent="0.25">
      <c r="A67" s="16"/>
      <c r="B67" s="16"/>
      <c r="C67" s="16"/>
      <c r="D67" s="16"/>
      <c r="E67" s="16"/>
      <c r="F67" s="16"/>
      <c r="G67" s="16"/>
      <c r="H67" s="16"/>
      <c r="I67" s="402"/>
    </row>
    <row r="68" spans="1:9" x14ac:dyDescent="0.25">
      <c r="A68" s="16"/>
      <c r="B68" s="16"/>
      <c r="C68" s="16"/>
      <c r="D68" s="16"/>
      <c r="E68" s="16"/>
      <c r="F68" s="16"/>
      <c r="G68" s="16"/>
      <c r="H68" s="16"/>
      <c r="I68" s="402"/>
    </row>
    <row r="69" spans="1:9" x14ac:dyDescent="0.25">
      <c r="A69" s="16"/>
      <c r="B69" s="16"/>
      <c r="C69" s="16"/>
      <c r="D69" s="16"/>
      <c r="E69" s="16"/>
      <c r="F69" s="16"/>
      <c r="G69" s="16"/>
      <c r="H69" s="16"/>
      <c r="I69" s="402"/>
    </row>
    <row r="70" spans="1:9" x14ac:dyDescent="0.25">
      <c r="A70" s="16"/>
      <c r="B70" s="16"/>
      <c r="C70" s="16"/>
      <c r="D70" s="16"/>
      <c r="E70" s="16"/>
      <c r="F70" s="16"/>
      <c r="G70" s="16"/>
      <c r="H70" s="16"/>
      <c r="I70" s="402"/>
    </row>
    <row r="71" spans="1:9" x14ac:dyDescent="0.25">
      <c r="A71" s="16"/>
      <c r="B71" s="16"/>
      <c r="C71" s="16"/>
      <c r="D71" s="16"/>
      <c r="E71" s="16"/>
      <c r="F71" s="16"/>
      <c r="G71" s="16"/>
      <c r="H71" s="16"/>
      <c r="I71" s="402"/>
    </row>
    <row r="72" spans="1:9" x14ac:dyDescent="0.25">
      <c r="A72" s="16"/>
      <c r="B72" s="16"/>
      <c r="C72" s="16"/>
      <c r="D72" s="16"/>
      <c r="E72" s="16"/>
      <c r="F72" s="16"/>
      <c r="G72" s="16"/>
      <c r="H72" s="16"/>
      <c r="I72" s="402"/>
    </row>
    <row r="73" spans="1:9" x14ac:dyDescent="0.25">
      <c r="A73" s="16"/>
      <c r="B73" s="16"/>
      <c r="C73" s="16"/>
      <c r="D73" s="16"/>
      <c r="E73" s="16"/>
      <c r="F73" s="16"/>
      <c r="G73" s="16"/>
      <c r="H73" s="16"/>
      <c r="I73" s="402"/>
    </row>
    <row r="74" spans="1:9" x14ac:dyDescent="0.25">
      <c r="A74" s="16"/>
      <c r="B74" s="16"/>
      <c r="C74" s="16"/>
      <c r="D74" s="16"/>
      <c r="E74" s="16"/>
      <c r="F74" s="16"/>
      <c r="G74" s="16"/>
      <c r="H74" s="16"/>
      <c r="I74" s="402"/>
    </row>
    <row r="75" spans="1:9" x14ac:dyDescent="0.25">
      <c r="A75" s="16"/>
      <c r="B75" s="16"/>
      <c r="C75" s="16"/>
      <c r="D75" s="16"/>
      <c r="E75" s="16"/>
      <c r="F75" s="16"/>
      <c r="G75" s="16"/>
      <c r="H75" s="16"/>
      <c r="I75" s="402"/>
    </row>
    <row r="76" spans="1:9" x14ac:dyDescent="0.25">
      <c r="A76" s="16"/>
      <c r="B76" s="16"/>
      <c r="C76" s="16"/>
      <c r="D76" s="16"/>
      <c r="E76" s="16"/>
      <c r="F76" s="16"/>
      <c r="G76" s="16"/>
      <c r="H76" s="16"/>
      <c r="I76" s="402"/>
    </row>
    <row r="77" spans="1:9" x14ac:dyDescent="0.25">
      <c r="A77" s="16"/>
      <c r="B77" s="16"/>
      <c r="C77" s="16"/>
      <c r="D77" s="16"/>
      <c r="E77" s="16"/>
      <c r="F77" s="16"/>
      <c r="G77" s="16"/>
      <c r="H77" s="16"/>
      <c r="I77" s="402"/>
    </row>
    <row r="78" spans="1:9" x14ac:dyDescent="0.25">
      <c r="A78" s="16"/>
      <c r="B78" s="16"/>
      <c r="C78" s="16"/>
      <c r="D78" s="16"/>
      <c r="E78" s="16"/>
      <c r="F78" s="16"/>
      <c r="G78" s="16"/>
      <c r="H78" s="16"/>
      <c r="I78" s="402"/>
    </row>
    <row r="79" spans="1:9" x14ac:dyDescent="0.25">
      <c r="A79" s="16"/>
      <c r="B79" s="16"/>
      <c r="C79" s="16"/>
      <c r="D79" s="16"/>
      <c r="E79" s="16"/>
      <c r="F79" s="16"/>
      <c r="G79" s="16"/>
      <c r="H79" s="16"/>
      <c r="I79" s="402"/>
    </row>
    <row r="80" spans="1:9" x14ac:dyDescent="0.25">
      <c r="A80" s="16"/>
      <c r="B80" s="16"/>
      <c r="C80" s="16"/>
      <c r="D80" s="16"/>
      <c r="E80" s="16"/>
      <c r="F80" s="16"/>
      <c r="G80" s="16"/>
      <c r="H80" s="16"/>
      <c r="I80" s="402"/>
    </row>
    <row r="81" spans="1:9" x14ac:dyDescent="0.25">
      <c r="A81" s="16"/>
      <c r="B81" s="16"/>
      <c r="C81" s="16"/>
      <c r="D81" s="16"/>
      <c r="E81" s="16"/>
      <c r="F81" s="16"/>
      <c r="G81" s="16"/>
      <c r="H81" s="16"/>
      <c r="I81" s="402"/>
    </row>
    <row r="82" spans="1:9" x14ac:dyDescent="0.25">
      <c r="A82" s="16"/>
      <c r="B82" s="16"/>
      <c r="C82" s="16"/>
      <c r="D82" s="16"/>
      <c r="E82" s="16"/>
      <c r="F82" s="16"/>
      <c r="G82" s="16"/>
      <c r="H82" s="16"/>
      <c r="I82" s="402"/>
    </row>
    <row r="83" spans="1:9" x14ac:dyDescent="0.25">
      <c r="A83" s="16"/>
      <c r="B83" s="16"/>
      <c r="C83" s="16"/>
      <c r="D83" s="16"/>
      <c r="E83" s="16"/>
      <c r="F83" s="16"/>
      <c r="G83" s="16"/>
      <c r="H83" s="16"/>
      <c r="I83" s="402"/>
    </row>
    <row r="84" spans="1:9" x14ac:dyDescent="0.25">
      <c r="A84" s="16"/>
      <c r="B84" s="16"/>
      <c r="C84" s="16"/>
      <c r="D84" s="16"/>
      <c r="E84" s="16"/>
      <c r="F84" s="16"/>
      <c r="G84" s="16"/>
      <c r="H84" s="16"/>
      <c r="I84" s="402"/>
    </row>
    <row r="85" spans="1:9" x14ac:dyDescent="0.25">
      <c r="A85" s="16"/>
      <c r="B85" s="16"/>
      <c r="C85" s="16"/>
      <c r="D85" s="16"/>
      <c r="E85" s="16"/>
      <c r="F85" s="16"/>
      <c r="G85" s="16"/>
      <c r="H85" s="16"/>
      <c r="I85" s="402"/>
    </row>
    <row r="86" spans="1:9" x14ac:dyDescent="0.25">
      <c r="A86" s="16"/>
      <c r="B86" s="16"/>
      <c r="C86" s="16"/>
      <c r="D86" s="16"/>
      <c r="E86" s="16"/>
      <c r="F86" s="16"/>
      <c r="G86" s="16"/>
      <c r="H86" s="16"/>
      <c r="I86" s="402"/>
    </row>
    <row r="87" spans="1:9" x14ac:dyDescent="0.25">
      <c r="A87" s="16"/>
      <c r="B87" s="16"/>
      <c r="C87" s="16"/>
      <c r="D87" s="16"/>
      <c r="E87" s="16"/>
      <c r="F87" s="16"/>
      <c r="G87" s="16"/>
      <c r="H87" s="16"/>
      <c r="I87" s="402"/>
    </row>
    <row r="88" spans="1:9" x14ac:dyDescent="0.25">
      <c r="A88" s="16"/>
      <c r="B88" s="16"/>
      <c r="C88" s="16"/>
      <c r="D88" s="16"/>
      <c r="E88" s="16"/>
      <c r="F88" s="16"/>
      <c r="G88" s="16"/>
      <c r="H88" s="16"/>
      <c r="I88" s="402"/>
    </row>
    <row r="89" spans="1:9" x14ac:dyDescent="0.25">
      <c r="A89" s="16"/>
      <c r="B89" s="16"/>
      <c r="C89" s="16"/>
      <c r="D89" s="16"/>
      <c r="E89" s="16"/>
      <c r="F89" s="16"/>
      <c r="G89" s="16"/>
      <c r="H89" s="16"/>
      <c r="I89" s="402"/>
    </row>
    <row r="90" spans="1:9" x14ac:dyDescent="0.25">
      <c r="A90" s="16"/>
      <c r="B90" s="16"/>
      <c r="C90" s="16"/>
      <c r="D90" s="16"/>
      <c r="E90" s="16"/>
      <c r="F90" s="16"/>
      <c r="G90" s="16"/>
      <c r="H90" s="16"/>
      <c r="I90" s="402"/>
    </row>
    <row r="91" spans="1:9" x14ac:dyDescent="0.25">
      <c r="A91" s="16"/>
      <c r="B91" s="16"/>
      <c r="C91" s="16"/>
      <c r="D91" s="16"/>
      <c r="E91" s="16"/>
      <c r="F91" s="16"/>
      <c r="G91" s="16"/>
      <c r="H91" s="16"/>
      <c r="I91" s="402"/>
    </row>
    <row r="92" spans="1:9" x14ac:dyDescent="0.25">
      <c r="A92" s="16"/>
      <c r="B92" s="16"/>
      <c r="C92" s="16"/>
      <c r="D92" s="16"/>
      <c r="E92" s="16"/>
      <c r="F92" s="16"/>
      <c r="G92" s="16"/>
      <c r="H92" s="16"/>
      <c r="I92" s="402"/>
    </row>
    <row r="93" spans="1:9" x14ac:dyDescent="0.25">
      <c r="A93" s="16"/>
      <c r="B93" s="16"/>
      <c r="C93" s="16"/>
      <c r="D93" s="16"/>
      <c r="E93" s="16"/>
      <c r="F93" s="16"/>
      <c r="G93" s="16"/>
      <c r="H93" s="16"/>
      <c r="I93" s="402"/>
    </row>
    <row r="94" spans="1:9" x14ac:dyDescent="0.25">
      <c r="A94" s="16"/>
      <c r="B94" s="16"/>
      <c r="C94" s="16"/>
      <c r="D94" s="16"/>
      <c r="E94" s="16"/>
      <c r="F94" s="16"/>
      <c r="G94" s="16"/>
      <c r="H94" s="16"/>
      <c r="I94" s="402"/>
    </row>
    <row r="95" spans="1:9" x14ac:dyDescent="0.25">
      <c r="A95" s="16"/>
      <c r="B95" s="16"/>
      <c r="C95" s="16"/>
      <c r="D95" s="16"/>
      <c r="E95" s="16"/>
      <c r="F95" s="16"/>
      <c r="G95" s="16"/>
      <c r="H95" s="16"/>
      <c r="I95" s="402"/>
    </row>
    <row r="96" spans="1:9" ht="38.25" customHeight="1" x14ac:dyDescent="0.25">
      <c r="A96" s="16"/>
      <c r="B96" s="16"/>
      <c r="C96" s="16"/>
      <c r="D96" s="16"/>
      <c r="E96" s="16"/>
      <c r="F96" s="16"/>
      <c r="G96" s="16"/>
      <c r="H96" s="16"/>
      <c r="I96" s="402"/>
    </row>
    <row r="97" spans="1:9" x14ac:dyDescent="0.25">
      <c r="A97" s="16"/>
      <c r="B97" s="16"/>
      <c r="C97" s="16"/>
      <c r="D97" s="16"/>
      <c r="E97" s="16"/>
      <c r="F97" s="16"/>
      <c r="G97" s="16"/>
      <c r="H97" s="16"/>
      <c r="I97" s="402"/>
    </row>
    <row r="98" spans="1:9" x14ac:dyDescent="0.25">
      <c r="A98" s="16"/>
      <c r="B98" s="16"/>
      <c r="C98" s="16"/>
      <c r="D98" s="16"/>
      <c r="E98" s="16"/>
      <c r="F98" s="16"/>
      <c r="G98" s="16"/>
      <c r="H98" s="16"/>
      <c r="I98" s="402"/>
    </row>
    <row r="99" spans="1:9" x14ac:dyDescent="0.25">
      <c r="A99" s="16"/>
      <c r="B99" s="16"/>
      <c r="C99" s="16"/>
      <c r="D99" s="16"/>
      <c r="E99" s="16"/>
      <c r="F99" s="16"/>
      <c r="G99" s="16"/>
      <c r="H99" s="16"/>
      <c r="I99" s="402"/>
    </row>
    <row r="100" spans="1:9" x14ac:dyDescent="0.25">
      <c r="A100" s="16"/>
      <c r="B100" s="16"/>
      <c r="C100" s="16"/>
      <c r="D100" s="16"/>
      <c r="E100" s="16"/>
      <c r="F100" s="16"/>
      <c r="G100" s="16"/>
      <c r="H100" s="16"/>
      <c r="I100" s="402"/>
    </row>
    <row r="101" spans="1:9" x14ac:dyDescent="0.25">
      <c r="A101" s="16"/>
      <c r="B101" s="353"/>
      <c r="C101" s="16"/>
      <c r="D101" s="16"/>
      <c r="E101" s="16"/>
      <c r="F101" s="16"/>
      <c r="G101" s="16"/>
      <c r="H101" s="16"/>
      <c r="I101" s="402"/>
    </row>
    <row r="102" spans="1:9" x14ac:dyDescent="0.25">
      <c r="A102" s="16"/>
      <c r="B102" s="16"/>
      <c r="C102" s="16"/>
      <c r="D102" s="16"/>
      <c r="E102" s="16"/>
      <c r="F102" s="16"/>
      <c r="G102" s="16"/>
      <c r="H102" s="16"/>
      <c r="I102" s="402"/>
    </row>
    <row r="103" spans="1:9" x14ac:dyDescent="0.25">
      <c r="A103" s="16"/>
      <c r="B103" s="16"/>
      <c r="C103" s="16"/>
      <c r="D103" s="16"/>
      <c r="E103" s="16"/>
      <c r="F103" s="16"/>
      <c r="G103" s="16"/>
      <c r="H103" s="16"/>
      <c r="I103" s="402"/>
    </row>
    <row r="104" spans="1:9" x14ac:dyDescent="0.25">
      <c r="A104" s="16"/>
      <c r="B104" s="16"/>
      <c r="C104" s="16"/>
      <c r="D104" s="16"/>
      <c r="E104" s="16"/>
      <c r="F104" s="16"/>
      <c r="G104" s="16"/>
      <c r="H104" s="16"/>
      <c r="I104"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K89"/>
  <sheetViews>
    <sheetView view="pageBreakPreview" zoomScale="85" zoomScaleNormal="115" zoomScaleSheetLayoutView="85" workbookViewId="0">
      <pane xSplit="1" topLeftCell="B1" activePane="topRight" state="frozen"/>
      <selection activeCell="C40" sqref="C40"/>
      <selection pane="top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8" style="41" customWidth="1"/>
    <col min="9" max="9" width="15.5703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128</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6">
        <v>10</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(10)</v>
      </c>
      <c r="B12" s="352" t="s">
        <v>6</v>
      </c>
      <c r="C12" s="406">
        <v>4978992.21</v>
      </c>
      <c r="D12" s="369">
        <v>2080808.23</v>
      </c>
      <c r="E12" s="406">
        <f>F12-D12</f>
        <v>3679249.3700000006</v>
      </c>
      <c r="F12" s="369">
        <v>5760057.6000000006</v>
      </c>
      <c r="G12" s="408">
        <f>H12+I12</f>
        <v>5929240.8000000017</v>
      </c>
      <c r="H12" s="438">
        <v>5809240.8000000017</v>
      </c>
      <c r="I12" s="49">
        <f>I14/2</f>
        <v>120000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216000</v>
      </c>
      <c r="D14" s="369">
        <v>97000</v>
      </c>
      <c r="E14" s="406">
        <f t="shared" ref="E14:E19" si="0">F14-D14</f>
        <v>143000</v>
      </c>
      <c r="F14" s="369">
        <v>240000</v>
      </c>
      <c r="G14" s="408">
        <f>param_pera*CPDO_PLATILLA_ITEMS*12</f>
        <v>240000</v>
      </c>
      <c r="H14" s="402"/>
      <c r="I14" s="49">
        <v>240000</v>
      </c>
    </row>
    <row r="15" spans="1:9" ht="15" customHeight="1" x14ac:dyDescent="0.25">
      <c r="A15" s="373" t="s">
        <v>11</v>
      </c>
      <c r="B15" s="352" t="s">
        <v>12</v>
      </c>
      <c r="C15" s="406">
        <v>135000</v>
      </c>
      <c r="D15" s="369">
        <v>46125</v>
      </c>
      <c r="E15" s="406">
        <f t="shared" si="0"/>
        <v>88875</v>
      </c>
      <c r="F15" s="369">
        <v>135000</v>
      </c>
      <c r="G15" s="408">
        <f>H15*12</f>
        <v>135000</v>
      </c>
      <c r="H15" s="402">
        <v>11250</v>
      </c>
    </row>
    <row r="16" spans="1:9" ht="15" customHeight="1" x14ac:dyDescent="0.25">
      <c r="A16" s="373" t="s">
        <v>13</v>
      </c>
      <c r="B16" s="352" t="s">
        <v>14</v>
      </c>
      <c r="C16" s="406">
        <v>135000</v>
      </c>
      <c r="D16" s="369">
        <v>46125</v>
      </c>
      <c r="E16" s="406">
        <f t="shared" si="0"/>
        <v>88875</v>
      </c>
      <c r="F16" s="369">
        <v>135000</v>
      </c>
      <c r="G16" s="408">
        <f>H16*12</f>
        <v>135000</v>
      </c>
      <c r="H16" s="402">
        <v>11250</v>
      </c>
    </row>
    <row r="17" spans="1:11" ht="15" customHeight="1" x14ac:dyDescent="0.25">
      <c r="A17" s="373" t="s">
        <v>15</v>
      </c>
      <c r="B17" s="352" t="s">
        <v>16</v>
      </c>
      <c r="C17" s="406">
        <v>54000</v>
      </c>
      <c r="D17" s="369">
        <v>48000</v>
      </c>
      <c r="E17" s="406">
        <f t="shared" si="0"/>
        <v>12000</v>
      </c>
      <c r="F17" s="369">
        <v>60000</v>
      </c>
      <c r="G17" s="408">
        <f>param_uniform*CPDO_PLATILLA_ITEMS</f>
        <v>60000</v>
      </c>
      <c r="H17" s="402"/>
    </row>
    <row r="18" spans="1:11" ht="15" customHeight="1" x14ac:dyDescent="0.25">
      <c r="A18" s="373" t="s">
        <v>17</v>
      </c>
      <c r="B18" s="352" t="s">
        <v>18</v>
      </c>
      <c r="C18" s="406">
        <v>416917</v>
      </c>
      <c r="D18" s="369"/>
      <c r="E18" s="406">
        <f t="shared" si="0"/>
        <v>480004.80000000005</v>
      </c>
      <c r="F18" s="369">
        <v>480004.80000000005</v>
      </c>
      <c r="G18" s="408">
        <f>H12/12+I18</f>
        <v>544103.40000000014</v>
      </c>
      <c r="H18" s="402"/>
      <c r="I18" s="49">
        <f>I14/4</f>
        <v>60000</v>
      </c>
    </row>
    <row r="19" spans="1:11" ht="15" customHeight="1" x14ac:dyDescent="0.25">
      <c r="A19" s="373" t="s">
        <v>19</v>
      </c>
      <c r="B19" s="352" t="s">
        <v>20</v>
      </c>
      <c r="C19" s="406">
        <v>45000</v>
      </c>
      <c r="D19" s="369"/>
      <c r="E19" s="406">
        <f t="shared" si="0"/>
        <v>50000</v>
      </c>
      <c r="F19" s="369">
        <v>50000</v>
      </c>
      <c r="G19" s="408">
        <f>param_cash_gift*CPDO_PLATILLA_ITEMS</f>
        <v>50000</v>
      </c>
      <c r="H19" s="402"/>
    </row>
    <row r="20" spans="1:11" ht="15" customHeight="1" x14ac:dyDescent="0.25">
      <c r="A20" s="403" t="s">
        <v>21</v>
      </c>
      <c r="B20" s="365"/>
      <c r="C20" s="404"/>
      <c r="D20" s="366"/>
      <c r="E20" s="406"/>
      <c r="F20" s="366"/>
      <c r="G20" s="405"/>
      <c r="H20" s="402"/>
      <c r="K20" s="41" t="s">
        <v>610</v>
      </c>
    </row>
    <row r="21" spans="1:11" ht="15" customHeight="1" x14ac:dyDescent="0.25">
      <c r="A21" s="373" t="s">
        <v>22</v>
      </c>
      <c r="B21" s="352" t="s">
        <v>23</v>
      </c>
      <c r="C21" s="406">
        <v>597479.06999999995</v>
      </c>
      <c r="D21" s="369">
        <v>244933.22</v>
      </c>
      <c r="E21" s="406">
        <f t="shared" ref="E21:E24" si="1">F21-D21</f>
        <v>446273.69200000004</v>
      </c>
      <c r="F21" s="369">
        <v>691206.91200000001</v>
      </c>
      <c r="G21" s="408">
        <f>H12*12%</f>
        <v>697108.89600000018</v>
      </c>
      <c r="H21" s="402"/>
    </row>
    <row r="22" spans="1:11" ht="15" customHeight="1" x14ac:dyDescent="0.25">
      <c r="A22" s="373" t="s">
        <v>24</v>
      </c>
      <c r="B22" s="352" t="s">
        <v>25</v>
      </c>
      <c r="C22" s="406">
        <v>9900</v>
      </c>
      <c r="D22" s="369">
        <v>4800</v>
      </c>
      <c r="E22" s="406">
        <f t="shared" si="1"/>
        <v>13200</v>
      </c>
      <c r="F22" s="369">
        <v>18000</v>
      </c>
      <c r="G22" s="408">
        <f>param_pagibig*CPDO_PLATILLA_ITEMS*12</f>
        <v>18000</v>
      </c>
      <c r="H22" s="402"/>
    </row>
    <row r="23" spans="1:11" ht="15" customHeight="1" x14ac:dyDescent="0.25">
      <c r="A23" s="373" t="s">
        <v>26</v>
      </c>
      <c r="B23" s="352" t="s">
        <v>27</v>
      </c>
      <c r="C23" s="406">
        <v>65482.74</v>
      </c>
      <c r="D23" s="369">
        <v>39778.47</v>
      </c>
      <c r="E23" s="406">
        <f t="shared" si="1"/>
        <v>92221.53</v>
      </c>
      <c r="F23" s="369">
        <v>132000</v>
      </c>
      <c r="G23" s="408">
        <f>ROUND(H23+(H23*0.1), -1)</f>
        <v>103600</v>
      </c>
      <c r="H23" s="402">
        <v>94180.824000000008</v>
      </c>
    </row>
    <row r="24" spans="1:11" ht="15" customHeight="1" x14ac:dyDescent="0.25">
      <c r="A24" s="373" t="s">
        <v>28</v>
      </c>
      <c r="B24" s="352" t="s">
        <v>29</v>
      </c>
      <c r="C24" s="406">
        <v>10800</v>
      </c>
      <c r="D24" s="369">
        <v>4800</v>
      </c>
      <c r="E24" s="406">
        <f t="shared" si="1"/>
        <v>13200</v>
      </c>
      <c r="F24" s="369">
        <v>18000</v>
      </c>
      <c r="G24" s="408">
        <f>param_ecc*CPDO_PLATILLA_ITEMS*12</f>
        <v>18000</v>
      </c>
      <c r="H24" s="402"/>
    </row>
    <row r="25" spans="1:11" ht="15" customHeight="1" x14ac:dyDescent="0.25">
      <c r="A25" s="403" t="s">
        <v>30</v>
      </c>
      <c r="B25" s="365"/>
      <c r="C25" s="404"/>
      <c r="D25" s="366"/>
      <c r="E25" s="406"/>
      <c r="F25" s="366"/>
      <c r="G25" s="405"/>
      <c r="H25" s="402"/>
    </row>
    <row r="26" spans="1:11" ht="15" customHeight="1" x14ac:dyDescent="0.25">
      <c r="A26" s="373" t="s">
        <v>30</v>
      </c>
      <c r="B26" s="352" t="s">
        <v>33</v>
      </c>
      <c r="C26" s="406"/>
      <c r="D26" s="369"/>
      <c r="E26" s="406"/>
      <c r="F26" s="369"/>
      <c r="G26" s="408"/>
      <c r="H26" s="519">
        <f>SUM(G26:G33)</f>
        <v>649103.40000000014</v>
      </c>
    </row>
    <row r="27" spans="1:11" ht="15" customHeight="1" x14ac:dyDescent="0.25">
      <c r="A27" s="434" t="s">
        <v>332</v>
      </c>
      <c r="B27" s="352"/>
      <c r="C27" s="406">
        <v>411702</v>
      </c>
      <c r="D27" s="369">
        <v>332488</v>
      </c>
      <c r="E27" s="406">
        <f t="shared" ref="E27:E30" si="2">F27-D27</f>
        <v>147516.80000000005</v>
      </c>
      <c r="F27" s="369">
        <v>480004.80000000005</v>
      </c>
      <c r="G27" s="408">
        <f>H12/12+I27</f>
        <v>544103.40000000014</v>
      </c>
      <c r="H27" s="402"/>
      <c r="I27" s="49">
        <f>I14/4</f>
        <v>60000</v>
      </c>
    </row>
    <row r="28" spans="1:11" ht="15" customHeight="1" x14ac:dyDescent="0.25">
      <c r="A28" s="434" t="s">
        <v>333</v>
      </c>
      <c r="B28" s="352"/>
      <c r="C28" s="406">
        <v>45000</v>
      </c>
      <c r="D28" s="369"/>
      <c r="E28" s="406">
        <f t="shared" si="2"/>
        <v>50000</v>
      </c>
      <c r="F28" s="369">
        <v>50000</v>
      </c>
      <c r="G28" s="408">
        <f>param_pei*CPDO_PLATILLA_ITEMS</f>
        <v>50000</v>
      </c>
      <c r="H28" s="402"/>
    </row>
    <row r="29" spans="1:11" ht="30" customHeight="1" x14ac:dyDescent="0.25">
      <c r="A29" s="434" t="s">
        <v>649</v>
      </c>
      <c r="B29" s="352"/>
      <c r="C29" s="406"/>
      <c r="D29" s="369"/>
      <c r="E29" s="406">
        <f t="shared" si="2"/>
        <v>50000</v>
      </c>
      <c r="F29" s="369">
        <v>50000</v>
      </c>
      <c r="G29" s="408">
        <f>param_pbb*CPDO_PLATILLA_ITEMS</f>
        <v>50000</v>
      </c>
      <c r="H29" s="402"/>
    </row>
    <row r="30" spans="1:11" ht="15" customHeight="1" x14ac:dyDescent="0.25">
      <c r="A30" s="441" t="s">
        <v>334</v>
      </c>
      <c r="B30" s="442"/>
      <c r="C30" s="443">
        <v>15000</v>
      </c>
      <c r="D30" s="444"/>
      <c r="E30" s="443">
        <f t="shared" si="2"/>
        <v>5000</v>
      </c>
      <c r="F30" s="444">
        <v>5000</v>
      </c>
      <c r="G30" s="387">
        <v>5000</v>
      </c>
      <c r="H30" s="519"/>
    </row>
    <row r="31" spans="1:11" ht="15" customHeight="1" x14ac:dyDescent="0.25">
      <c r="A31" s="376" t="s">
        <v>650</v>
      </c>
      <c r="B31" s="352"/>
      <c r="C31" s="369">
        <v>225000</v>
      </c>
      <c r="D31" s="369"/>
      <c r="E31" s="369"/>
      <c r="F31" s="369"/>
      <c r="G31" s="369"/>
      <c r="H31" s="375"/>
    </row>
    <row r="32" spans="1:11" ht="15" customHeight="1" x14ac:dyDescent="0.25">
      <c r="A32" s="376" t="s">
        <v>652</v>
      </c>
      <c r="B32" s="352"/>
      <c r="C32" s="369"/>
      <c r="D32" s="369"/>
      <c r="E32" s="369"/>
      <c r="F32" s="369"/>
      <c r="G32" s="369"/>
      <c r="H32" s="375"/>
    </row>
    <row r="33" spans="1:9" ht="15" customHeight="1" x14ac:dyDescent="0.25">
      <c r="A33" s="378" t="s">
        <v>653</v>
      </c>
      <c r="B33" s="379"/>
      <c r="C33" s="380">
        <v>90000</v>
      </c>
      <c r="D33" s="380"/>
      <c r="E33" s="381"/>
      <c r="F33" s="380"/>
      <c r="G33" s="380"/>
      <c r="H33" s="375"/>
    </row>
    <row r="34" spans="1:9" s="44" customFormat="1" ht="15" customHeight="1" x14ac:dyDescent="0.25">
      <c r="A34" s="396" t="s">
        <v>34</v>
      </c>
      <c r="B34" s="397"/>
      <c r="C34" s="398">
        <f>SUM(C11:C33)</f>
        <v>7451273.0200000005</v>
      </c>
      <c r="D34" s="398">
        <f t="shared" ref="D34:F34" si="3">SUM(D11:D33)</f>
        <v>2944857.9200000004</v>
      </c>
      <c r="E34" s="398">
        <f t="shared" si="3"/>
        <v>5359416.1920000007</v>
      </c>
      <c r="F34" s="398">
        <f t="shared" si="3"/>
        <v>8304274.1120000007</v>
      </c>
      <c r="G34" s="398">
        <f>SUM(G11:G33)</f>
        <v>8579156.4960000031</v>
      </c>
      <c r="H34" s="401"/>
      <c r="I34" s="1048"/>
    </row>
    <row r="35" spans="1:9" ht="15" customHeight="1" x14ac:dyDescent="0.25">
      <c r="A35" s="429" t="s">
        <v>35</v>
      </c>
      <c r="B35" s="362"/>
      <c r="C35" s="430"/>
      <c r="D35" s="363"/>
      <c r="E35" s="430"/>
      <c r="F35" s="363"/>
      <c r="G35" s="431"/>
      <c r="H35" s="16"/>
    </row>
    <row r="36" spans="1:9" ht="15" customHeight="1" x14ac:dyDescent="0.25">
      <c r="A36" s="403" t="s">
        <v>55</v>
      </c>
      <c r="B36" s="365"/>
      <c r="C36" s="404"/>
      <c r="D36" s="369"/>
      <c r="E36" s="406"/>
      <c r="F36" s="366"/>
      <c r="G36" s="408"/>
      <c r="H36" s="16"/>
    </row>
    <row r="37" spans="1:9" ht="15" customHeight="1" x14ac:dyDescent="0.25">
      <c r="A37" s="373" t="s">
        <v>56</v>
      </c>
      <c r="B37" s="352" t="s">
        <v>57</v>
      </c>
      <c r="C37" s="406">
        <v>3350</v>
      </c>
      <c r="D37" s="369"/>
      <c r="E37" s="406">
        <f>F37-D37</f>
        <v>4000</v>
      </c>
      <c r="F37" s="369">
        <v>4000</v>
      </c>
      <c r="G37" s="408">
        <v>4000</v>
      </c>
      <c r="H37" s="16"/>
    </row>
    <row r="38" spans="1:9" ht="15" customHeight="1" x14ac:dyDescent="0.25">
      <c r="A38" s="403" t="s">
        <v>58</v>
      </c>
      <c r="B38" s="365"/>
      <c r="C38" s="404"/>
      <c r="D38" s="369"/>
      <c r="E38" s="406"/>
      <c r="F38" s="366"/>
      <c r="G38" s="405"/>
      <c r="H38" s="16"/>
    </row>
    <row r="39" spans="1:9" ht="15" customHeight="1" x14ac:dyDescent="0.25">
      <c r="A39" s="373" t="s">
        <v>61</v>
      </c>
      <c r="B39" s="352" t="s">
        <v>62</v>
      </c>
      <c r="C39" s="406">
        <v>24000</v>
      </c>
      <c r="D39" s="369"/>
      <c r="E39" s="406">
        <f t="shared" ref="E39:E40" si="4">F39-D39</f>
        <v>36000</v>
      </c>
      <c r="F39" s="369">
        <v>36000</v>
      </c>
      <c r="G39" s="408">
        <v>36000</v>
      </c>
      <c r="H39" s="16"/>
    </row>
    <row r="40" spans="1:9" ht="15" customHeight="1" x14ac:dyDescent="0.25">
      <c r="A40" s="373" t="s">
        <v>63</v>
      </c>
      <c r="B40" s="352" t="s">
        <v>64</v>
      </c>
      <c r="C40" s="406">
        <v>30000</v>
      </c>
      <c r="D40" s="369">
        <v>12500</v>
      </c>
      <c r="E40" s="406">
        <f t="shared" si="4"/>
        <v>107500</v>
      </c>
      <c r="F40" s="369">
        <v>120000</v>
      </c>
      <c r="G40" s="408">
        <v>44000</v>
      </c>
      <c r="H40" s="16"/>
    </row>
    <row r="41" spans="1:9" ht="15" customHeight="1" x14ac:dyDescent="0.25">
      <c r="A41" s="403" t="s">
        <v>79</v>
      </c>
      <c r="B41" s="365"/>
      <c r="C41" s="404"/>
      <c r="D41" s="366"/>
      <c r="E41" s="404"/>
      <c r="F41" s="366"/>
      <c r="G41" s="405"/>
      <c r="H41" s="16"/>
    </row>
    <row r="42" spans="1:9" ht="15" customHeight="1" x14ac:dyDescent="0.25">
      <c r="A42" s="373" t="s">
        <v>80</v>
      </c>
      <c r="B42" s="352" t="s">
        <v>81</v>
      </c>
      <c r="C42" s="406">
        <v>269350</v>
      </c>
      <c r="D42" s="369">
        <v>128100</v>
      </c>
      <c r="E42" s="406">
        <f>F42-D42</f>
        <v>161900</v>
      </c>
      <c r="F42" s="369">
        <v>290000</v>
      </c>
      <c r="G42" s="408">
        <v>290000</v>
      </c>
      <c r="H42" s="16"/>
    </row>
    <row r="43" spans="1:9" ht="15" customHeight="1" x14ac:dyDescent="0.25">
      <c r="A43" s="403" t="s">
        <v>42</v>
      </c>
      <c r="B43" s="365"/>
      <c r="C43" s="404"/>
      <c r="D43" s="366"/>
      <c r="E43" s="404"/>
      <c r="F43" s="366"/>
      <c r="G43" s="432"/>
      <c r="H43" s="16"/>
    </row>
    <row r="44" spans="1:9" ht="15" customHeight="1" x14ac:dyDescent="0.25">
      <c r="A44" s="373" t="s">
        <v>42</v>
      </c>
      <c r="B44" s="433" t="s">
        <v>176</v>
      </c>
      <c r="C44" s="406"/>
      <c r="D44" s="369"/>
      <c r="E44" s="406">
        <f>F44-D44</f>
        <v>50000</v>
      </c>
      <c r="F44" s="369">
        <v>50000</v>
      </c>
      <c r="G44" s="369"/>
      <c r="H44" s="16"/>
    </row>
    <row r="45" spans="1:9" s="44" customFormat="1" ht="30" customHeight="1" x14ac:dyDescent="0.25">
      <c r="A45" s="396" t="s">
        <v>86</v>
      </c>
      <c r="B45" s="397"/>
      <c r="C45" s="398">
        <f>SUM(C37:C44)</f>
        <v>326700</v>
      </c>
      <c r="D45" s="398">
        <f>SUM(D37:D44)</f>
        <v>140600</v>
      </c>
      <c r="E45" s="398">
        <f>SUM(E37:E44)</f>
        <v>359400</v>
      </c>
      <c r="F45" s="398">
        <f>SUM(F37:F44)</f>
        <v>500000</v>
      </c>
      <c r="G45" s="398">
        <f>SUM(G35:G44)</f>
        <v>374000</v>
      </c>
      <c r="H45" s="796">
        <v>374000</v>
      </c>
      <c r="I45" s="1048"/>
    </row>
    <row r="46" spans="1:9" ht="15" customHeight="1" x14ac:dyDescent="0.25">
      <c r="A46" s="429" t="s">
        <v>88</v>
      </c>
      <c r="B46" s="362"/>
      <c r="C46" s="430"/>
      <c r="D46" s="363"/>
      <c r="E46" s="430"/>
      <c r="F46" s="363"/>
      <c r="G46" s="431"/>
      <c r="H46" s="16"/>
    </row>
    <row r="47" spans="1:9" s="44" customFormat="1" ht="15" customHeight="1" x14ac:dyDescent="0.25">
      <c r="A47" s="396" t="s">
        <v>112</v>
      </c>
      <c r="B47" s="436"/>
      <c r="C47" s="398">
        <f>SUM(C46:C46)</f>
        <v>0</v>
      </c>
      <c r="D47" s="398">
        <f>SUM(D46:D46)</f>
        <v>0</v>
      </c>
      <c r="E47" s="398">
        <f>SUM(E46:E46)</f>
        <v>0</v>
      </c>
      <c r="F47" s="398">
        <f>SUM(F46:F46)</f>
        <v>0</v>
      </c>
      <c r="G47" s="779">
        <v>0</v>
      </c>
      <c r="H47" s="401"/>
      <c r="I47" s="1048"/>
    </row>
    <row r="48" spans="1:9" s="53" customFormat="1" ht="15" customHeight="1" x14ac:dyDescent="0.25">
      <c r="A48" s="419" t="s">
        <v>113</v>
      </c>
      <c r="B48" s="437"/>
      <c r="C48" s="421">
        <f>C34+C45+C47</f>
        <v>7777973.0200000005</v>
      </c>
      <c r="D48" s="421">
        <f>D34+D45+D47</f>
        <v>3085457.9200000004</v>
      </c>
      <c r="E48" s="421">
        <f>E34+E45+E47</f>
        <v>5718816.1920000007</v>
      </c>
      <c r="F48" s="421">
        <f>F34+F45+F47</f>
        <v>8804274.1119999997</v>
      </c>
      <c r="G48" s="421">
        <f>+CPDO_CO+CPDO_MOOE+CPDO_PS</f>
        <v>8953156.4960000031</v>
      </c>
      <c r="H48" s="521"/>
      <c r="I48" s="1049"/>
    </row>
    <row r="49" spans="1:8" x14ac:dyDescent="0.25">
      <c r="A49" s="16"/>
      <c r="B49" s="16"/>
      <c r="C49" s="16"/>
      <c r="D49" s="16"/>
      <c r="E49" s="16"/>
      <c r="F49" s="16"/>
      <c r="G49" s="16"/>
      <c r="H49" s="16"/>
    </row>
    <row r="50" spans="1:8" x14ac:dyDescent="0.25">
      <c r="A50" s="16"/>
      <c r="B50" s="16"/>
      <c r="C50" s="16">
        <v>322824.65999999997</v>
      </c>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ht="38.25" customHeight="1"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353"/>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8" fitToHeight="0" orientation="portrait" horizontalDpi="360" verticalDpi="360" r:id="rId1"/>
  <headerFooter scaleWithDoc="0">
    <oddFooter>&amp;C&amp;"Candara,Regular"&amp;10Page &amp;"Candara,Bold"&amp;P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fitToPage="1"/>
  </sheetPr>
  <dimension ref="A1:K92"/>
  <sheetViews>
    <sheetView view="pageBreakPreview" topLeftCell="A4" zoomScale="115" zoomScaleNormal="100" zoomScaleSheetLayoutView="115" workbookViewId="0">
      <pane xSplit="2" ySplit="5" topLeftCell="C39"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140625" style="41" bestFit="1" customWidth="1"/>
    <col min="9" max="9" width="13.285156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131</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17</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(17)</v>
      </c>
      <c r="B12" s="352" t="s">
        <v>6</v>
      </c>
      <c r="C12" s="406">
        <v>4429965.9400000004</v>
      </c>
      <c r="D12" s="369">
        <v>2323648.6800000002</v>
      </c>
      <c r="E12" s="406">
        <f>F12-D12</f>
        <v>4180743.7199999993</v>
      </c>
      <c r="F12" s="369">
        <v>6504392.3999999994</v>
      </c>
      <c r="G12" s="408">
        <f>H12+I12</f>
        <v>6865393.1999999983</v>
      </c>
      <c r="H12" s="438">
        <v>6661393.1999999983</v>
      </c>
      <c r="I12" s="49">
        <f>I14/2</f>
        <v>204000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340000</v>
      </c>
      <c r="D14" s="369">
        <v>156000</v>
      </c>
      <c r="E14" s="406">
        <f t="shared" ref="E14:E17" si="0">F14-D14</f>
        <v>252000</v>
      </c>
      <c r="F14" s="369">
        <v>408000</v>
      </c>
      <c r="G14" s="408">
        <f>param_pera*CCRO_PLATILLA_ITEMS*12</f>
        <v>408000</v>
      </c>
      <c r="H14" s="402"/>
      <c r="I14" s="49">
        <v>408000</v>
      </c>
    </row>
    <row r="15" spans="1:9" ht="15" customHeight="1" x14ac:dyDescent="0.25">
      <c r="A15" s="373" t="s">
        <v>11</v>
      </c>
      <c r="B15" s="352" t="s">
        <v>12</v>
      </c>
      <c r="C15" s="406">
        <v>103500</v>
      </c>
      <c r="D15" s="369">
        <v>67500</v>
      </c>
      <c r="E15" s="406">
        <f t="shared" si="0"/>
        <v>67500</v>
      </c>
      <c r="F15" s="369">
        <v>135000</v>
      </c>
      <c r="G15" s="408">
        <f>H15*12</f>
        <v>135000</v>
      </c>
      <c r="H15" s="402">
        <v>11250</v>
      </c>
    </row>
    <row r="16" spans="1:9" ht="15" customHeight="1" x14ac:dyDescent="0.25">
      <c r="A16" s="373" t="s">
        <v>13</v>
      </c>
      <c r="B16" s="352" t="s">
        <v>14</v>
      </c>
      <c r="C16" s="406">
        <v>103500</v>
      </c>
      <c r="D16" s="369">
        <v>67500</v>
      </c>
      <c r="E16" s="406">
        <f t="shared" si="0"/>
        <v>67500</v>
      </c>
      <c r="F16" s="369">
        <v>135000</v>
      </c>
      <c r="G16" s="408">
        <f>H16*12</f>
        <v>135000</v>
      </c>
      <c r="H16" s="402">
        <v>11250</v>
      </c>
    </row>
    <row r="17" spans="1:11" ht="15" customHeight="1" x14ac:dyDescent="0.25">
      <c r="A17" s="373" t="s">
        <v>15</v>
      </c>
      <c r="B17" s="352" t="s">
        <v>16</v>
      </c>
      <c r="C17" s="406">
        <v>78000</v>
      </c>
      <c r="D17" s="369">
        <v>78000</v>
      </c>
      <c r="E17" s="406">
        <f t="shared" si="0"/>
        <v>24000</v>
      </c>
      <c r="F17" s="369">
        <v>102000</v>
      </c>
      <c r="G17" s="408">
        <f>CCRO_PLATILLA_ITEMS*param_uniform</f>
        <v>102000</v>
      </c>
      <c r="H17" s="402"/>
    </row>
    <row r="18" spans="1:11" ht="15" customHeight="1" x14ac:dyDescent="0.25">
      <c r="A18" s="373" t="s">
        <v>126</v>
      </c>
      <c r="B18" s="352" t="s">
        <v>125</v>
      </c>
      <c r="C18" s="406"/>
      <c r="D18" s="369"/>
      <c r="E18" s="406"/>
      <c r="F18" s="369"/>
      <c r="G18" s="408"/>
      <c r="H18" s="402"/>
    </row>
    <row r="19" spans="1:11" ht="15" customHeight="1" x14ac:dyDescent="0.25">
      <c r="A19" s="373" t="s">
        <v>17</v>
      </c>
      <c r="B19" s="352" t="s">
        <v>18</v>
      </c>
      <c r="C19" s="406">
        <v>373831</v>
      </c>
      <c r="D19" s="369"/>
      <c r="E19" s="406">
        <f t="shared" ref="E19:E20" si="1">F19-D19</f>
        <v>542032.69999999995</v>
      </c>
      <c r="F19" s="369">
        <v>542032.69999999995</v>
      </c>
      <c r="G19" s="408">
        <f>H12/12+I19</f>
        <v>657116.09999999986</v>
      </c>
      <c r="H19" s="402"/>
      <c r="I19" s="49">
        <f>I14/4</f>
        <v>102000</v>
      </c>
    </row>
    <row r="20" spans="1:11" ht="15" customHeight="1" x14ac:dyDescent="0.25">
      <c r="A20" s="373" t="s">
        <v>19</v>
      </c>
      <c r="B20" s="352" t="s">
        <v>20</v>
      </c>
      <c r="C20" s="406">
        <v>65000</v>
      </c>
      <c r="D20" s="369"/>
      <c r="E20" s="406">
        <f t="shared" si="1"/>
        <v>85000</v>
      </c>
      <c r="F20" s="369">
        <v>85000</v>
      </c>
      <c r="G20" s="408">
        <f>param_cash_gift*CCRO_PLATILLA_ITEMS</f>
        <v>85000</v>
      </c>
      <c r="H20" s="402"/>
      <c r="K20" s="41" t="s">
        <v>610</v>
      </c>
    </row>
    <row r="21" spans="1:11" ht="15" customHeight="1" x14ac:dyDescent="0.25">
      <c r="A21" s="403" t="s">
        <v>21</v>
      </c>
      <c r="B21" s="365"/>
      <c r="C21" s="404"/>
      <c r="D21" s="366"/>
      <c r="E21" s="406"/>
      <c r="F21" s="366"/>
      <c r="G21" s="405"/>
      <c r="H21" s="402"/>
    </row>
    <row r="22" spans="1:11" ht="15" customHeight="1" x14ac:dyDescent="0.25">
      <c r="A22" s="373" t="s">
        <v>22</v>
      </c>
      <c r="B22" s="352" t="s">
        <v>23</v>
      </c>
      <c r="C22" s="406">
        <v>540184.31999999995</v>
      </c>
      <c r="D22" s="369">
        <v>279376.37</v>
      </c>
      <c r="E22" s="406">
        <f t="shared" ref="E22:E25" si="2">F22-D22</f>
        <v>501150.71799999988</v>
      </c>
      <c r="F22" s="369">
        <v>780527.08799999987</v>
      </c>
      <c r="G22" s="408">
        <f>H12*12%</f>
        <v>799367.18399999978</v>
      </c>
      <c r="H22" s="402"/>
    </row>
    <row r="23" spans="1:11" ht="15" customHeight="1" x14ac:dyDescent="0.25">
      <c r="A23" s="373" t="s">
        <v>24</v>
      </c>
      <c r="B23" s="352" t="s">
        <v>25</v>
      </c>
      <c r="C23" s="406">
        <v>16300</v>
      </c>
      <c r="D23" s="369">
        <v>7800</v>
      </c>
      <c r="E23" s="406">
        <f t="shared" si="2"/>
        <v>22800</v>
      </c>
      <c r="F23" s="369">
        <v>30600</v>
      </c>
      <c r="G23" s="408">
        <f>param_pagibig*CCRO_PLATILLA_ITEMS*12</f>
        <v>30600</v>
      </c>
      <c r="H23" s="402"/>
    </row>
    <row r="24" spans="1:11" ht="15" customHeight="1" x14ac:dyDescent="0.25">
      <c r="A24" s="373" t="s">
        <v>26</v>
      </c>
      <c r="B24" s="352" t="s">
        <v>27</v>
      </c>
      <c r="C24" s="406">
        <v>60025.78</v>
      </c>
      <c r="D24" s="369">
        <v>45045.37</v>
      </c>
      <c r="E24" s="406">
        <f t="shared" si="2"/>
        <v>89954.63</v>
      </c>
      <c r="F24" s="369">
        <v>135000</v>
      </c>
      <c r="G24" s="408">
        <f>ROUND(H24+(H24*0.1), -1)</f>
        <v>140900</v>
      </c>
      <c r="H24" s="402">
        <v>128089.70400000003</v>
      </c>
    </row>
    <row r="25" spans="1:11" ht="15" customHeight="1" x14ac:dyDescent="0.25">
      <c r="A25" s="373" t="s">
        <v>28</v>
      </c>
      <c r="B25" s="352" t="s">
        <v>29</v>
      </c>
      <c r="C25" s="406">
        <v>16300</v>
      </c>
      <c r="D25" s="369">
        <v>7800</v>
      </c>
      <c r="E25" s="406">
        <f t="shared" si="2"/>
        <v>22800</v>
      </c>
      <c r="F25" s="369">
        <v>30600</v>
      </c>
      <c r="G25" s="408">
        <f>param_ecc*CCRO_PLATILLA_ITEMS*12</f>
        <v>30600</v>
      </c>
      <c r="H25" s="402"/>
    </row>
    <row r="26" spans="1:11" ht="15" customHeight="1" x14ac:dyDescent="0.25">
      <c r="A26" s="403" t="s">
        <v>30</v>
      </c>
      <c r="B26" s="365"/>
      <c r="C26" s="404"/>
      <c r="D26" s="366"/>
      <c r="E26" s="406"/>
      <c r="F26" s="366"/>
      <c r="G26" s="405"/>
      <c r="H26" s="402"/>
    </row>
    <row r="27" spans="1:11" ht="15" customHeight="1" x14ac:dyDescent="0.25">
      <c r="A27" s="373" t="s">
        <v>30</v>
      </c>
      <c r="B27" s="352" t="s">
        <v>33</v>
      </c>
      <c r="C27" s="406"/>
      <c r="D27" s="369"/>
      <c r="E27" s="369"/>
      <c r="F27" s="369"/>
      <c r="G27" s="408"/>
      <c r="H27" s="519">
        <f>SUM(G27:G34)</f>
        <v>832116.09999999986</v>
      </c>
    </row>
    <row r="28" spans="1:11" ht="15" customHeight="1" x14ac:dyDescent="0.25">
      <c r="A28" s="434" t="s">
        <v>332</v>
      </c>
      <c r="B28" s="352"/>
      <c r="C28" s="406">
        <v>359431</v>
      </c>
      <c r="D28" s="369">
        <v>387658</v>
      </c>
      <c r="E28" s="406">
        <f t="shared" ref="E28:E31" si="3">F28-D28</f>
        <v>154374.69999999995</v>
      </c>
      <c r="F28" s="369">
        <v>542032.69999999995</v>
      </c>
      <c r="G28" s="408">
        <f>H12/12+I28</f>
        <v>657116.09999999986</v>
      </c>
      <c r="H28" s="402"/>
      <c r="I28" s="49">
        <f>I14/4</f>
        <v>102000</v>
      </c>
    </row>
    <row r="29" spans="1:11" ht="15" customHeight="1" x14ac:dyDescent="0.25">
      <c r="A29" s="434" t="s">
        <v>333</v>
      </c>
      <c r="B29" s="352"/>
      <c r="C29" s="406">
        <v>65000</v>
      </c>
      <c r="D29" s="369"/>
      <c r="E29" s="406">
        <f t="shared" si="3"/>
        <v>85000</v>
      </c>
      <c r="F29" s="369">
        <v>85000</v>
      </c>
      <c r="G29" s="408">
        <f>param_pei*CCRO_PLATILLA_ITEMS</f>
        <v>85000</v>
      </c>
      <c r="H29" s="402"/>
    </row>
    <row r="30" spans="1:11" ht="30" customHeight="1" x14ac:dyDescent="0.25">
      <c r="A30" s="434" t="s">
        <v>649</v>
      </c>
      <c r="B30" s="352"/>
      <c r="C30" s="406"/>
      <c r="D30" s="369"/>
      <c r="E30" s="406">
        <f t="shared" si="3"/>
        <v>85000</v>
      </c>
      <c r="F30" s="369">
        <v>85000</v>
      </c>
      <c r="G30" s="408">
        <f>param_pbb*CCRO_PLATILLA_ITEMS</f>
        <v>85000</v>
      </c>
      <c r="H30" s="402"/>
    </row>
    <row r="31" spans="1:11" ht="15" customHeight="1" x14ac:dyDescent="0.25">
      <c r="A31" s="434" t="s">
        <v>334</v>
      </c>
      <c r="B31" s="352"/>
      <c r="C31" s="406"/>
      <c r="D31" s="369"/>
      <c r="E31" s="406">
        <f t="shared" si="3"/>
        <v>5000</v>
      </c>
      <c r="F31" s="369">
        <v>5000</v>
      </c>
      <c r="G31" s="408">
        <v>5000</v>
      </c>
      <c r="H31" s="519"/>
    </row>
    <row r="32" spans="1:11" ht="15" customHeight="1" x14ac:dyDescent="0.25">
      <c r="A32" s="513" t="s">
        <v>650</v>
      </c>
      <c r="B32" s="479"/>
      <c r="C32" s="381">
        <v>325000</v>
      </c>
      <c r="D32" s="381"/>
      <c r="E32" s="381"/>
      <c r="F32" s="381"/>
      <c r="G32" s="381"/>
      <c r="H32" s="375"/>
    </row>
    <row r="33" spans="1:9" ht="15" customHeight="1" x14ac:dyDescent="0.25">
      <c r="A33" s="376" t="s">
        <v>652</v>
      </c>
      <c r="B33" s="352"/>
      <c r="C33" s="369"/>
      <c r="D33" s="369"/>
      <c r="E33" s="369"/>
      <c r="F33" s="369"/>
      <c r="G33" s="369"/>
      <c r="H33" s="375"/>
    </row>
    <row r="34" spans="1:9" ht="15" customHeight="1" x14ac:dyDescent="0.25">
      <c r="A34" s="378" t="s">
        <v>653</v>
      </c>
      <c r="B34" s="379"/>
      <c r="C34" s="380">
        <v>130000</v>
      </c>
      <c r="D34" s="380"/>
      <c r="E34" s="381"/>
      <c r="F34" s="380"/>
      <c r="G34" s="380"/>
      <c r="H34" s="375"/>
    </row>
    <row r="35" spans="1:9" s="44" customFormat="1" ht="15" customHeight="1" x14ac:dyDescent="0.25">
      <c r="A35" s="396" t="s">
        <v>34</v>
      </c>
      <c r="B35" s="397"/>
      <c r="C35" s="398">
        <f>SUM(C11:C34)</f>
        <v>7006038.040000001</v>
      </c>
      <c r="D35" s="398">
        <f t="shared" ref="D35:F35" si="4">SUM(D11:D34)</f>
        <v>3420328.4200000004</v>
      </c>
      <c r="E35" s="398">
        <f t="shared" si="4"/>
        <v>6184856.4679999985</v>
      </c>
      <c r="F35" s="398">
        <f t="shared" si="4"/>
        <v>9605184.8879999984</v>
      </c>
      <c r="G35" s="398">
        <f>SUM(G11:G34)</f>
        <v>10221092.583999997</v>
      </c>
      <c r="H35" s="400"/>
      <c r="I35" s="1048"/>
    </row>
    <row r="36" spans="1:9" ht="15" customHeight="1" x14ac:dyDescent="0.25">
      <c r="A36" s="429" t="s">
        <v>35</v>
      </c>
      <c r="B36" s="362"/>
      <c r="C36" s="430"/>
      <c r="D36" s="594"/>
      <c r="E36" s="430"/>
      <c r="F36" s="363"/>
      <c r="G36" s="431"/>
      <c r="H36" s="16"/>
    </row>
    <row r="37" spans="1:9" ht="15" customHeight="1" x14ac:dyDescent="0.25">
      <c r="A37" s="403" t="s">
        <v>55</v>
      </c>
      <c r="B37" s="365"/>
      <c r="C37" s="404"/>
      <c r="D37" s="366"/>
      <c r="E37" s="404"/>
      <c r="F37" s="366"/>
      <c r="G37" s="405"/>
      <c r="H37" s="16"/>
    </row>
    <row r="38" spans="1:9" ht="15" customHeight="1" x14ac:dyDescent="0.25">
      <c r="A38" s="373" t="s">
        <v>56</v>
      </c>
      <c r="B38" s="352" t="s">
        <v>57</v>
      </c>
      <c r="C38" s="406"/>
      <c r="D38" s="369"/>
      <c r="E38" s="406">
        <f>F38-D38</f>
        <v>6000</v>
      </c>
      <c r="F38" s="369">
        <v>6000</v>
      </c>
      <c r="G38" s="408">
        <v>6000</v>
      </c>
      <c r="H38" s="16"/>
    </row>
    <row r="39" spans="1:9" ht="15" customHeight="1" x14ac:dyDescent="0.25">
      <c r="A39" s="403" t="s">
        <v>58</v>
      </c>
      <c r="B39" s="365"/>
      <c r="C39" s="404"/>
      <c r="D39" s="366"/>
      <c r="E39" s="404"/>
      <c r="F39" s="366"/>
      <c r="G39" s="405"/>
      <c r="H39" s="16"/>
    </row>
    <row r="40" spans="1:9" ht="15" customHeight="1" x14ac:dyDescent="0.25">
      <c r="A40" s="373" t="s">
        <v>61</v>
      </c>
      <c r="B40" s="352" t="s">
        <v>62</v>
      </c>
      <c r="C40" s="406">
        <v>24000</v>
      </c>
      <c r="D40" s="369">
        <v>18000</v>
      </c>
      <c r="E40" s="406">
        <f>F40-D40</f>
        <v>18000</v>
      </c>
      <c r="F40" s="369">
        <v>36000</v>
      </c>
      <c r="G40" s="408">
        <v>36000</v>
      </c>
      <c r="H40" s="16"/>
    </row>
    <row r="41" spans="1:9" ht="15" customHeight="1" x14ac:dyDescent="0.25">
      <c r="A41" s="373" t="s">
        <v>63</v>
      </c>
      <c r="B41" s="352" t="s">
        <v>64</v>
      </c>
      <c r="C41" s="406"/>
      <c r="D41" s="369"/>
      <c r="E41" s="406">
        <f>F41-D41</f>
        <v>36000</v>
      </c>
      <c r="F41" s="369">
        <v>36000</v>
      </c>
      <c r="G41" s="408">
        <v>36000</v>
      </c>
      <c r="H41" s="16"/>
    </row>
    <row r="42" spans="1:9" ht="15" customHeight="1" x14ac:dyDescent="0.25">
      <c r="A42" s="403" t="s">
        <v>79</v>
      </c>
      <c r="B42" s="365"/>
      <c r="C42" s="404"/>
      <c r="D42" s="366"/>
      <c r="E42" s="404"/>
      <c r="F42" s="366"/>
      <c r="G42" s="405"/>
      <c r="H42" s="16"/>
    </row>
    <row r="43" spans="1:9" ht="15" customHeight="1" x14ac:dyDescent="0.25">
      <c r="A43" s="373" t="s">
        <v>80</v>
      </c>
      <c r="B43" s="352" t="s">
        <v>81</v>
      </c>
      <c r="C43" s="406"/>
      <c r="D43" s="369">
        <v>251320</v>
      </c>
      <c r="E43" s="406">
        <f>F43-D43</f>
        <v>348680</v>
      </c>
      <c r="F43" s="369">
        <v>600000</v>
      </c>
      <c r="G43" s="408">
        <v>608160</v>
      </c>
      <c r="H43" s="409"/>
    </row>
    <row r="44" spans="1:9" ht="15" customHeight="1" x14ac:dyDescent="0.25">
      <c r="A44" s="403" t="s">
        <v>42</v>
      </c>
      <c r="B44" s="365"/>
      <c r="C44" s="404"/>
      <c r="D44" s="595"/>
      <c r="E44" s="404"/>
      <c r="F44" s="366"/>
      <c r="G44" s="405"/>
      <c r="H44" s="16"/>
    </row>
    <row r="45" spans="1:9" ht="15" customHeight="1" x14ac:dyDescent="0.25">
      <c r="A45" s="373" t="s">
        <v>42</v>
      </c>
      <c r="B45" s="352" t="s">
        <v>43</v>
      </c>
      <c r="C45" s="406"/>
      <c r="D45" s="369"/>
      <c r="E45" s="369"/>
      <c r="F45" s="369"/>
      <c r="G45" s="408"/>
      <c r="H45" s="16"/>
    </row>
    <row r="46" spans="1:9" ht="15" customHeight="1" x14ac:dyDescent="0.25">
      <c r="A46" s="434" t="s">
        <v>312</v>
      </c>
      <c r="B46" s="352"/>
      <c r="C46" s="406"/>
      <c r="D46" s="369"/>
      <c r="E46" s="406">
        <f t="shared" ref="E46:E47" si="5">F46-D46</f>
        <v>200000</v>
      </c>
      <c r="F46" s="369">
        <v>200000</v>
      </c>
      <c r="G46" s="408">
        <v>100000</v>
      </c>
      <c r="H46" s="16"/>
    </row>
    <row r="47" spans="1:9" ht="15" customHeight="1" x14ac:dyDescent="0.25">
      <c r="A47" s="434" t="s">
        <v>313</v>
      </c>
      <c r="B47" s="352"/>
      <c r="C47" s="406">
        <v>68250</v>
      </c>
      <c r="D47" s="369">
        <v>33930</v>
      </c>
      <c r="E47" s="406">
        <f t="shared" si="5"/>
        <v>66070</v>
      </c>
      <c r="F47" s="369">
        <v>100000</v>
      </c>
      <c r="G47" s="408">
        <v>170000</v>
      </c>
      <c r="H47" s="16"/>
    </row>
    <row r="48" spans="1:9" s="44" customFormat="1" ht="30" customHeight="1" x14ac:dyDescent="0.25">
      <c r="A48" s="396" t="s">
        <v>86</v>
      </c>
      <c r="B48" s="397"/>
      <c r="C48" s="398">
        <f>SUM(C38:C47)</f>
        <v>92250</v>
      </c>
      <c r="D48" s="398">
        <f>SUM(D38:D47)</f>
        <v>303250</v>
      </c>
      <c r="E48" s="398">
        <f>SUM(E38:E47)</f>
        <v>674750</v>
      </c>
      <c r="F48" s="398">
        <f>SUM(F38:F47)</f>
        <v>978000</v>
      </c>
      <c r="G48" s="398">
        <f>SUM(G38:G47)</f>
        <v>956160</v>
      </c>
      <c r="H48" s="797">
        <v>960160</v>
      </c>
      <c r="I48" s="1048"/>
    </row>
    <row r="49" spans="1:9" x14ac:dyDescent="0.25">
      <c r="A49" s="429" t="s">
        <v>88</v>
      </c>
      <c r="B49" s="362"/>
      <c r="C49" s="430"/>
      <c r="D49" s="363"/>
      <c r="E49" s="430"/>
      <c r="F49" s="363"/>
      <c r="G49" s="431"/>
      <c r="H49" s="439"/>
    </row>
    <row r="50" spans="1:9" s="44" customFormat="1" x14ac:dyDescent="0.25">
      <c r="A50" s="396" t="s">
        <v>112</v>
      </c>
      <c r="B50" s="436"/>
      <c r="C50" s="398">
        <f>SUM(C49:C49)</f>
        <v>0</v>
      </c>
      <c r="D50" s="398">
        <f>SUM(D49:D49)</f>
        <v>0</v>
      </c>
      <c r="E50" s="398">
        <f>SUM(E49:E49)</f>
        <v>0</v>
      </c>
      <c r="F50" s="398">
        <f>SUM(F49:F49)</f>
        <v>0</v>
      </c>
      <c r="G50" s="779">
        <f>SUM(G49:G49)</f>
        <v>0</v>
      </c>
      <c r="H50" s="401"/>
      <c r="I50" s="1048"/>
    </row>
    <row r="51" spans="1:9" s="53" customFormat="1" x14ac:dyDescent="0.25">
      <c r="A51" s="419" t="s">
        <v>113</v>
      </c>
      <c r="B51" s="437"/>
      <c r="C51" s="421">
        <f>C35+C48+C50</f>
        <v>7098288.040000001</v>
      </c>
      <c r="D51" s="421">
        <f>D35+D48+D50</f>
        <v>3723578.4200000004</v>
      </c>
      <c r="E51" s="421">
        <f>E35+E48+E50</f>
        <v>6859606.4679999985</v>
      </c>
      <c r="F51" s="421">
        <f>F35+F48+F50</f>
        <v>10583184.887999998</v>
      </c>
      <c r="G51" s="421">
        <f>G35+G48+G50</f>
        <v>11177252.583999997</v>
      </c>
      <c r="H51" s="521"/>
      <c r="I51" s="1049"/>
    </row>
    <row r="52" spans="1:9" x14ac:dyDescent="0.25">
      <c r="A52" s="16"/>
      <c r="B52" s="16"/>
      <c r="C52" s="16"/>
      <c r="D52" s="16"/>
      <c r="E52" s="16"/>
      <c r="F52" s="16"/>
      <c r="G52" s="16"/>
      <c r="H52" s="16"/>
    </row>
    <row r="53" spans="1:9" x14ac:dyDescent="0.25">
      <c r="A53" s="16"/>
      <c r="B53" s="16"/>
      <c r="C53" s="16"/>
      <c r="D53" s="16"/>
      <c r="E53" s="16"/>
      <c r="F53" s="16"/>
      <c r="G53" s="16"/>
      <c r="H53" s="16"/>
    </row>
    <row r="54" spans="1:9" x14ac:dyDescent="0.25">
      <c r="A54" s="16"/>
      <c r="B54" s="16"/>
      <c r="C54" s="16"/>
      <c r="D54" s="16"/>
      <c r="E54" s="16"/>
      <c r="F54" s="16"/>
      <c r="G54" s="16"/>
      <c r="H54" s="16"/>
    </row>
    <row r="55" spans="1:9" x14ac:dyDescent="0.25">
      <c r="A55" s="16"/>
      <c r="B55" s="16"/>
      <c r="C55" s="16"/>
      <c r="D55" s="16"/>
      <c r="E55" s="16"/>
      <c r="F55" s="16"/>
      <c r="G55" s="16"/>
      <c r="H55" s="16"/>
    </row>
    <row r="56" spans="1:9" x14ac:dyDescent="0.25">
      <c r="A56" s="16"/>
      <c r="B56" s="16"/>
      <c r="C56" s="16"/>
      <c r="D56" s="16"/>
      <c r="E56" s="16"/>
      <c r="F56" s="16"/>
      <c r="G56" s="16"/>
      <c r="H56" s="16"/>
    </row>
    <row r="57" spans="1:9" x14ac:dyDescent="0.25">
      <c r="A57" s="16"/>
      <c r="B57" s="16"/>
      <c r="C57" s="16"/>
      <c r="D57" s="16"/>
      <c r="E57" s="16"/>
      <c r="F57" s="16"/>
      <c r="G57" s="16"/>
      <c r="H57" s="16"/>
    </row>
    <row r="58" spans="1:9" x14ac:dyDescent="0.25">
      <c r="A58" s="16"/>
      <c r="B58" s="16"/>
      <c r="C58" s="16"/>
      <c r="D58" s="16"/>
      <c r="E58" s="16"/>
      <c r="F58" s="16"/>
      <c r="G58" s="16"/>
      <c r="H58" s="16"/>
    </row>
    <row r="59" spans="1:9" x14ac:dyDescent="0.25">
      <c r="A59" s="16"/>
      <c r="B59" s="16"/>
      <c r="C59" s="16"/>
      <c r="D59" s="16"/>
      <c r="E59" s="16"/>
      <c r="F59" s="16"/>
      <c r="G59" s="16"/>
      <c r="H59" s="16"/>
    </row>
    <row r="60" spans="1:9" x14ac:dyDescent="0.25">
      <c r="A60" s="16"/>
      <c r="B60" s="16"/>
      <c r="C60" s="16"/>
      <c r="D60" s="16"/>
      <c r="E60" s="16"/>
      <c r="F60" s="16"/>
      <c r="G60" s="16"/>
      <c r="H60" s="16"/>
    </row>
    <row r="61" spans="1:9" x14ac:dyDescent="0.25">
      <c r="A61" s="16"/>
      <c r="B61" s="16"/>
      <c r="C61" s="16"/>
      <c r="D61" s="16"/>
      <c r="E61" s="16"/>
      <c r="F61" s="16"/>
      <c r="G61" s="16"/>
      <c r="H61" s="16"/>
    </row>
    <row r="62" spans="1:9" x14ac:dyDescent="0.25">
      <c r="A62" s="16"/>
      <c r="B62" s="16"/>
      <c r="C62" s="16"/>
      <c r="D62" s="16"/>
      <c r="E62" s="16"/>
      <c r="F62" s="16"/>
      <c r="G62" s="16"/>
      <c r="H62" s="16"/>
    </row>
    <row r="63" spans="1:9" x14ac:dyDescent="0.25">
      <c r="A63" s="16"/>
      <c r="B63" s="16"/>
      <c r="C63" s="16"/>
      <c r="D63" s="16"/>
      <c r="E63" s="16"/>
      <c r="F63" s="16"/>
      <c r="G63" s="16"/>
      <c r="H63" s="16"/>
    </row>
    <row r="64" spans="1:9"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ht="38.25" customHeight="1"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353"/>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8" fitToHeight="0" orientation="portrait" horizontalDpi="360" verticalDpi="360" r:id="rId1"/>
  <headerFooter scaleWithDoc="0">
    <oddFooter>&amp;C&amp;"Candara,Regular"&amp;10Page &amp;"Candara,Bold"&amp;P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94"/>
  <sheetViews>
    <sheetView view="pageBreakPreview" topLeftCell="A6" zoomScale="130" zoomScaleNormal="115" zoomScaleSheetLayoutView="130" workbookViewId="0">
      <pane xSplit="1" ySplit="3" topLeftCell="B66" activePane="bottomRight" state="frozen"/>
      <selection activeCell="C40" sqref="C40"/>
      <selection pane="topRight" activeCell="C40" sqref="C40"/>
      <selection pane="bottomLeft" activeCell="C40" sqref="C40"/>
      <selection pane="bottomRight" activeCell="G38" sqref="G38"/>
    </sheetView>
  </sheetViews>
  <sheetFormatPr defaultColWidth="9.140625" defaultRowHeight="15" x14ac:dyDescent="0.25"/>
  <cols>
    <col min="1" max="1" width="37.7109375" style="41" customWidth="1"/>
    <col min="2" max="2" width="12.7109375" style="41" customWidth="1"/>
    <col min="3" max="7" width="14.7109375" style="41" customWidth="1"/>
    <col min="8" max="8" width="16.28515625" style="41" bestFit="1" customWidth="1"/>
    <col min="9" max="9" width="13.5703125" style="49" customWidth="1"/>
    <col min="10" max="10" width="9.140625" style="41"/>
    <col min="11" max="11" width="12.28515625" style="41" bestFit="1" customWidth="1"/>
    <col min="12"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143</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50"/>
    </row>
    <row r="7" spans="1:9" s="43" customFormat="1" ht="12" x14ac:dyDescent="0.2">
      <c r="A7" s="1099"/>
      <c r="B7" s="1099"/>
      <c r="C7" s="1099"/>
      <c r="D7" s="1100"/>
      <c r="E7" s="1100"/>
      <c r="F7" s="1100"/>
      <c r="G7" s="1099"/>
      <c r="H7" s="358"/>
      <c r="I7" s="1050"/>
    </row>
    <row r="8" spans="1:9" s="43" customFormat="1" ht="24" x14ac:dyDescent="0.2">
      <c r="A8" s="1099"/>
      <c r="B8" s="1099"/>
      <c r="C8" s="1099"/>
      <c r="D8" s="359" t="s">
        <v>308</v>
      </c>
      <c r="E8" s="359" t="s">
        <v>309</v>
      </c>
      <c r="F8" s="359" t="s">
        <v>3</v>
      </c>
      <c r="G8" s="1099"/>
      <c r="H8" s="358"/>
      <c r="I8" s="1050"/>
    </row>
    <row r="9" spans="1:9" s="70" customFormat="1" ht="11.25" x14ac:dyDescent="0.25">
      <c r="A9" s="360">
        <v>1</v>
      </c>
      <c r="B9" s="360">
        <v>2</v>
      </c>
      <c r="C9" s="360">
        <v>3</v>
      </c>
      <c r="D9" s="360">
        <v>4</v>
      </c>
      <c r="E9" s="360">
        <v>5</v>
      </c>
      <c r="F9" s="360">
        <v>6</v>
      </c>
      <c r="G9" s="360">
        <v>7</v>
      </c>
      <c r="H9" s="423" t="s">
        <v>497</v>
      </c>
      <c r="I9" s="1051"/>
    </row>
    <row r="10" spans="1:9" ht="15" customHeight="1" x14ac:dyDescent="0.25">
      <c r="A10" s="429" t="s">
        <v>4</v>
      </c>
      <c r="B10" s="362"/>
      <c r="C10" s="584"/>
      <c r="D10" s="581"/>
      <c r="E10" s="430"/>
      <c r="F10" s="581"/>
      <c r="G10" s="585"/>
      <c r="H10" s="18">
        <v>23</v>
      </c>
      <c r="I10" s="402"/>
    </row>
    <row r="11" spans="1:9" ht="15" customHeight="1" x14ac:dyDescent="0.25">
      <c r="A11" s="403" t="s">
        <v>5</v>
      </c>
      <c r="B11" s="365"/>
      <c r="C11" s="404"/>
      <c r="D11" s="366"/>
      <c r="E11" s="404"/>
      <c r="F11" s="366"/>
      <c r="G11" s="405"/>
      <c r="H11" s="16"/>
      <c r="I11" s="402"/>
    </row>
    <row r="12" spans="1:9" ht="15" customHeight="1" x14ac:dyDescent="0.25">
      <c r="A12" s="373" t="str">
        <f>"Salaries and Wages - Regular (" &amp; H10 &amp; ")"</f>
        <v>Salaries and Wages - Regular (23)</v>
      </c>
      <c r="B12" s="352" t="s">
        <v>6</v>
      </c>
      <c r="C12" s="406">
        <v>5147970.0999999996</v>
      </c>
      <c r="D12" s="369">
        <v>2657527.0699999998</v>
      </c>
      <c r="E12" s="406">
        <f>F12-D12</f>
        <v>3958048.93</v>
      </c>
      <c r="F12" s="369">
        <v>6615576</v>
      </c>
      <c r="G12" s="408">
        <f>H12+I12</f>
        <v>7118800.7999999998</v>
      </c>
      <c r="H12" s="438">
        <v>6842800.7999999998</v>
      </c>
      <c r="I12" s="402">
        <f>I14/2</f>
        <v>276000</v>
      </c>
    </row>
    <row r="13" spans="1:9" ht="15" customHeight="1" x14ac:dyDescent="0.25">
      <c r="A13" s="403" t="s">
        <v>7</v>
      </c>
      <c r="B13" s="365"/>
      <c r="C13" s="404"/>
      <c r="D13" s="366"/>
      <c r="E13" s="404"/>
      <c r="F13" s="366"/>
      <c r="G13" s="405"/>
      <c r="H13" s="16"/>
      <c r="I13" s="402"/>
    </row>
    <row r="14" spans="1:9" ht="15" customHeight="1" x14ac:dyDescent="0.25">
      <c r="A14" s="373" t="s">
        <v>8</v>
      </c>
      <c r="B14" s="352" t="s">
        <v>9</v>
      </c>
      <c r="C14" s="406">
        <v>420000</v>
      </c>
      <c r="D14" s="369">
        <v>210000</v>
      </c>
      <c r="E14" s="406">
        <f t="shared" ref="E14:E25" si="0">F14-D14</f>
        <v>342000</v>
      </c>
      <c r="F14" s="369">
        <v>552000</v>
      </c>
      <c r="G14" s="408">
        <f>param_pera*CGSO_PLATILLA_ITEMS*12</f>
        <v>552000</v>
      </c>
      <c r="H14" s="402"/>
      <c r="I14" s="402">
        <v>552000</v>
      </c>
    </row>
    <row r="15" spans="1:9" ht="15" customHeight="1" x14ac:dyDescent="0.25">
      <c r="A15" s="373" t="s">
        <v>11</v>
      </c>
      <c r="B15" s="352" t="s">
        <v>12</v>
      </c>
      <c r="C15" s="406">
        <v>135000</v>
      </c>
      <c r="D15" s="369">
        <v>67500</v>
      </c>
      <c r="E15" s="406">
        <f t="shared" si="0"/>
        <v>67500</v>
      </c>
      <c r="F15" s="369">
        <v>135000</v>
      </c>
      <c r="G15" s="408">
        <f>H15*12</f>
        <v>135000</v>
      </c>
      <c r="H15" s="402">
        <v>11250</v>
      </c>
      <c r="I15" s="402"/>
    </row>
    <row r="16" spans="1:9" ht="15" customHeight="1" x14ac:dyDescent="0.25">
      <c r="A16" s="373" t="s">
        <v>13</v>
      </c>
      <c r="B16" s="352" t="s">
        <v>14</v>
      </c>
      <c r="C16" s="406">
        <v>135000</v>
      </c>
      <c r="D16" s="369">
        <v>67500</v>
      </c>
      <c r="E16" s="406">
        <f t="shared" si="0"/>
        <v>67500</v>
      </c>
      <c r="F16" s="369">
        <v>135000</v>
      </c>
      <c r="G16" s="408">
        <f>H16*12</f>
        <v>135000</v>
      </c>
      <c r="H16" s="402">
        <v>11250</v>
      </c>
      <c r="I16" s="402"/>
    </row>
    <row r="17" spans="1:12" ht="15" customHeight="1" x14ac:dyDescent="0.25">
      <c r="A17" s="373" t="s">
        <v>15</v>
      </c>
      <c r="B17" s="352" t="s">
        <v>16</v>
      </c>
      <c r="C17" s="406">
        <v>108000</v>
      </c>
      <c r="D17" s="369">
        <v>102000</v>
      </c>
      <c r="E17" s="406">
        <f t="shared" si="0"/>
        <v>36000</v>
      </c>
      <c r="F17" s="369">
        <v>138000</v>
      </c>
      <c r="G17" s="408">
        <f>param_uniform*CGSO_PLATILLA_ITEMS</f>
        <v>138000</v>
      </c>
      <c r="H17" s="402"/>
      <c r="I17" s="402"/>
    </row>
    <row r="18" spans="1:12" ht="15" customHeight="1" x14ac:dyDescent="0.25">
      <c r="A18" s="373" t="s">
        <v>126</v>
      </c>
      <c r="B18" s="352" t="s">
        <v>125</v>
      </c>
      <c r="C18" s="369"/>
      <c r="D18" s="369"/>
      <c r="E18" s="369">
        <f t="shared" si="0"/>
        <v>0</v>
      </c>
      <c r="F18" s="369"/>
      <c r="G18" s="369"/>
      <c r="H18" s="372"/>
      <c r="I18" s="402"/>
    </row>
    <row r="19" spans="1:12" ht="15" customHeight="1" x14ac:dyDescent="0.25">
      <c r="A19" s="373" t="s">
        <v>17</v>
      </c>
      <c r="B19" s="352" t="s">
        <v>18</v>
      </c>
      <c r="C19" s="406">
        <v>430915.4</v>
      </c>
      <c r="D19" s="369"/>
      <c r="E19" s="406">
        <f t="shared" si="0"/>
        <v>551298</v>
      </c>
      <c r="F19" s="369">
        <v>551298</v>
      </c>
      <c r="G19" s="408">
        <f>H12/12+I19</f>
        <v>708233.4</v>
      </c>
      <c r="H19" s="402"/>
      <c r="I19" s="402">
        <f>I14/4</f>
        <v>138000</v>
      </c>
    </row>
    <row r="20" spans="1:12" ht="15" customHeight="1" x14ac:dyDescent="0.25">
      <c r="A20" s="373" t="s">
        <v>19</v>
      </c>
      <c r="B20" s="352" t="s">
        <v>20</v>
      </c>
      <c r="C20" s="406">
        <v>88000</v>
      </c>
      <c r="D20" s="369"/>
      <c r="E20" s="406">
        <f t="shared" si="0"/>
        <v>115000</v>
      </c>
      <c r="F20" s="369">
        <v>115000</v>
      </c>
      <c r="G20" s="408">
        <f>param_cash_gift*CGSO_PLATILLA_ITEMS</f>
        <v>115000</v>
      </c>
      <c r="H20" s="402"/>
      <c r="I20" s="402"/>
    </row>
    <row r="21" spans="1:12" ht="15" customHeight="1" x14ac:dyDescent="0.25">
      <c r="A21" s="403" t="s">
        <v>21</v>
      </c>
      <c r="B21" s="365"/>
      <c r="C21" s="404"/>
      <c r="D21" s="366"/>
      <c r="E21" s="406"/>
      <c r="F21" s="366"/>
      <c r="G21" s="405"/>
      <c r="H21" s="402"/>
      <c r="I21" s="402"/>
      <c r="L21" s="41" t="s">
        <v>610</v>
      </c>
    </row>
    <row r="22" spans="1:12" ht="15" customHeight="1" x14ac:dyDescent="0.25">
      <c r="A22" s="373" t="s">
        <v>22</v>
      </c>
      <c r="B22" s="352" t="s">
        <v>23</v>
      </c>
      <c r="C22" s="406">
        <v>617768.29</v>
      </c>
      <c r="D22" s="369">
        <v>319443.78999999998</v>
      </c>
      <c r="E22" s="406">
        <f t="shared" si="0"/>
        <v>474425.33</v>
      </c>
      <c r="F22" s="369">
        <v>793869.12</v>
      </c>
      <c r="G22" s="408">
        <f>H12*12%</f>
        <v>821136.0959999999</v>
      </c>
      <c r="H22" s="402"/>
      <c r="I22" s="402"/>
    </row>
    <row r="23" spans="1:12" ht="15" customHeight="1" x14ac:dyDescent="0.25">
      <c r="A23" s="373" t="s">
        <v>24</v>
      </c>
      <c r="B23" s="352" t="s">
        <v>25</v>
      </c>
      <c r="C23" s="406">
        <v>20900</v>
      </c>
      <c r="D23" s="369">
        <v>10400</v>
      </c>
      <c r="E23" s="406">
        <f t="shared" si="0"/>
        <v>31000</v>
      </c>
      <c r="F23" s="369">
        <v>41400</v>
      </c>
      <c r="G23" s="408">
        <f>param_pagibig*CGSO_PLATILLA_ITEMS*12</f>
        <v>41400</v>
      </c>
      <c r="H23" s="402"/>
      <c r="I23" s="402"/>
    </row>
    <row r="24" spans="1:12" ht="15" customHeight="1" x14ac:dyDescent="0.25">
      <c r="A24" s="373" t="s">
        <v>26</v>
      </c>
      <c r="B24" s="352" t="s">
        <v>27</v>
      </c>
      <c r="C24" s="406">
        <v>68391.37</v>
      </c>
      <c r="D24" s="369">
        <v>51530.51</v>
      </c>
      <c r="E24" s="406">
        <f t="shared" si="0"/>
        <v>87469.489999999991</v>
      </c>
      <c r="F24" s="369">
        <v>139000</v>
      </c>
      <c r="G24" s="408">
        <f>ROUND(H24+(H24*0.1), -1)</f>
        <v>143040</v>
      </c>
      <c r="H24" s="402">
        <v>130034.66399999999</v>
      </c>
      <c r="I24" s="402"/>
    </row>
    <row r="25" spans="1:12" ht="15" customHeight="1" x14ac:dyDescent="0.25">
      <c r="A25" s="373" t="s">
        <v>28</v>
      </c>
      <c r="B25" s="352" t="s">
        <v>29</v>
      </c>
      <c r="C25" s="406">
        <v>21000</v>
      </c>
      <c r="D25" s="369">
        <v>10600</v>
      </c>
      <c r="E25" s="406">
        <f t="shared" si="0"/>
        <v>30800</v>
      </c>
      <c r="F25" s="369">
        <v>41400</v>
      </c>
      <c r="G25" s="408">
        <f>param_ecc*CGSO_PLATILLA_ITEMS*12</f>
        <v>41400</v>
      </c>
      <c r="H25" s="402"/>
      <c r="I25" s="402"/>
    </row>
    <row r="26" spans="1:12" ht="15" customHeight="1" x14ac:dyDescent="0.25">
      <c r="A26" s="403" t="s">
        <v>30</v>
      </c>
      <c r="B26" s="365"/>
      <c r="C26" s="404"/>
      <c r="D26" s="366"/>
      <c r="E26" s="406"/>
      <c r="F26" s="366"/>
      <c r="G26" s="405"/>
      <c r="H26" s="402"/>
      <c r="I26" s="402"/>
    </row>
    <row r="27" spans="1:12" ht="15" customHeight="1" x14ac:dyDescent="0.25">
      <c r="A27" s="373" t="s">
        <v>30</v>
      </c>
      <c r="B27" s="352" t="s">
        <v>33</v>
      </c>
      <c r="C27" s="406"/>
      <c r="D27" s="369"/>
      <c r="E27" s="369"/>
      <c r="F27" s="369"/>
      <c r="G27" s="408"/>
      <c r="H27" s="519">
        <f>SUM(G27:G34)</f>
        <v>948233.4</v>
      </c>
      <c r="I27" s="402"/>
    </row>
    <row r="28" spans="1:12" ht="15" customHeight="1" x14ac:dyDescent="0.25">
      <c r="A28" s="434" t="s">
        <v>332</v>
      </c>
      <c r="B28" s="352"/>
      <c r="C28" s="406">
        <v>436717</v>
      </c>
      <c r="D28" s="386">
        <v>437417</v>
      </c>
      <c r="E28" s="406">
        <f t="shared" ref="E28:E31" si="1">F28-D28</f>
        <v>113881</v>
      </c>
      <c r="F28" s="369">
        <v>551298</v>
      </c>
      <c r="G28" s="408">
        <f>H12/12+I28</f>
        <v>708233.4</v>
      </c>
      <c r="H28" s="402"/>
      <c r="I28" s="402">
        <f>I14/4</f>
        <v>138000</v>
      </c>
    </row>
    <row r="29" spans="1:12" ht="15" customHeight="1" x14ac:dyDescent="0.25">
      <c r="A29" s="434" t="s">
        <v>333</v>
      </c>
      <c r="B29" s="352"/>
      <c r="C29" s="406">
        <v>65000</v>
      </c>
      <c r="D29" s="386"/>
      <c r="E29" s="406">
        <f t="shared" si="1"/>
        <v>115000</v>
      </c>
      <c r="F29" s="369">
        <v>115000</v>
      </c>
      <c r="G29" s="408">
        <f>param_pei*CGSO_PLATILLA_ITEMS</f>
        <v>115000</v>
      </c>
      <c r="H29" s="402"/>
      <c r="I29" s="402"/>
    </row>
    <row r="30" spans="1:12" ht="30" customHeight="1" x14ac:dyDescent="0.25">
      <c r="A30" s="434" t="s">
        <v>649</v>
      </c>
      <c r="B30" s="352"/>
      <c r="C30" s="406"/>
      <c r="D30" s="386"/>
      <c r="E30" s="406">
        <f t="shared" si="1"/>
        <v>115000</v>
      </c>
      <c r="F30" s="369">
        <v>115000</v>
      </c>
      <c r="G30" s="408">
        <f>param_pbb*CGSO_PLATILLA_ITEMS</f>
        <v>115000</v>
      </c>
      <c r="H30" s="402"/>
      <c r="I30" s="402"/>
    </row>
    <row r="31" spans="1:12" ht="15" customHeight="1" x14ac:dyDescent="0.25">
      <c r="A31" s="434" t="s">
        <v>334</v>
      </c>
      <c r="B31" s="352"/>
      <c r="C31" s="406">
        <v>5000</v>
      </c>
      <c r="D31" s="386"/>
      <c r="E31" s="406">
        <f t="shared" si="1"/>
        <v>10000</v>
      </c>
      <c r="F31" s="369">
        <v>10000</v>
      </c>
      <c r="G31" s="408">
        <v>10000</v>
      </c>
      <c r="H31" s="519"/>
      <c r="I31" s="402"/>
    </row>
    <row r="32" spans="1:12" ht="15" customHeight="1" x14ac:dyDescent="0.25">
      <c r="A32" s="513" t="s">
        <v>650</v>
      </c>
      <c r="B32" s="479"/>
      <c r="C32" s="381">
        <v>425000</v>
      </c>
      <c r="D32" s="381"/>
      <c r="E32" s="381"/>
      <c r="F32" s="381"/>
      <c r="G32" s="381"/>
      <c r="H32" s="375"/>
      <c r="I32" s="402"/>
    </row>
    <row r="33" spans="1:9" ht="15" customHeight="1" x14ac:dyDescent="0.25">
      <c r="A33" s="376" t="s">
        <v>652</v>
      </c>
      <c r="B33" s="352"/>
      <c r="C33" s="369"/>
      <c r="D33" s="369"/>
      <c r="E33" s="369"/>
      <c r="F33" s="369"/>
      <c r="G33" s="369"/>
      <c r="H33" s="375"/>
      <c r="I33" s="402"/>
    </row>
    <row r="34" spans="1:9" ht="15" customHeight="1" x14ac:dyDescent="0.25">
      <c r="A34" s="378" t="s">
        <v>653</v>
      </c>
      <c r="B34" s="379"/>
      <c r="C34" s="380">
        <v>170000</v>
      </c>
      <c r="D34" s="380"/>
      <c r="E34" s="381"/>
      <c r="F34" s="380"/>
      <c r="G34" s="380"/>
      <c r="H34" s="375"/>
      <c r="I34" s="402"/>
    </row>
    <row r="35" spans="1:9" ht="15" customHeight="1" x14ac:dyDescent="0.25">
      <c r="A35" s="396" t="s">
        <v>34</v>
      </c>
      <c r="B35" s="397"/>
      <c r="C35" s="398">
        <f>SUM(C11:C34)</f>
        <v>8294662.1600000001</v>
      </c>
      <c r="D35" s="398">
        <f t="shared" ref="D35:F35" si="2">SUM(D11:D34)</f>
        <v>3933918.3699999996</v>
      </c>
      <c r="E35" s="398">
        <f t="shared" si="2"/>
        <v>6114922.75</v>
      </c>
      <c r="F35" s="398">
        <f t="shared" si="2"/>
        <v>10048841.119999999</v>
      </c>
      <c r="G35" s="398">
        <f>SUM(G11:G34)</f>
        <v>10897243.696</v>
      </c>
      <c r="H35" s="402"/>
      <c r="I35" s="402"/>
    </row>
    <row r="36" spans="1:9" ht="15" customHeight="1" x14ac:dyDescent="0.25">
      <c r="A36" s="429" t="s">
        <v>35</v>
      </c>
      <c r="B36" s="362"/>
      <c r="C36" s="430"/>
      <c r="D36" s="586"/>
      <c r="E36" s="430"/>
      <c r="F36" s="525"/>
      <c r="G36" s="526"/>
      <c r="H36" s="16"/>
      <c r="I36" s="402"/>
    </row>
    <row r="37" spans="1:9" ht="15" customHeight="1" x14ac:dyDescent="0.25">
      <c r="A37" s="403" t="s">
        <v>50</v>
      </c>
      <c r="B37" s="365"/>
      <c r="C37" s="404"/>
      <c r="D37" s="576"/>
      <c r="E37" s="576"/>
      <c r="F37" s="366"/>
      <c r="G37" s="405"/>
      <c r="H37" s="16"/>
      <c r="I37" s="402"/>
    </row>
    <row r="38" spans="1:9" ht="15" customHeight="1" x14ac:dyDescent="0.25">
      <c r="A38" s="373" t="s">
        <v>51</v>
      </c>
      <c r="B38" s="352" t="s">
        <v>52</v>
      </c>
      <c r="C38" s="406">
        <v>9650076.3800000008</v>
      </c>
      <c r="D38" s="386">
        <v>3981962.5</v>
      </c>
      <c r="E38" s="406">
        <f t="shared" ref="E38:E43" si="3">F38-D38</f>
        <v>8518037.5</v>
      </c>
      <c r="F38" s="369">
        <v>12500000</v>
      </c>
      <c r="G38" s="369">
        <v>12500000</v>
      </c>
      <c r="H38" s="371" t="s">
        <v>961</v>
      </c>
      <c r="I38" s="402">
        <f>SUM(G38:G40)</f>
        <v>14200000</v>
      </c>
    </row>
    <row r="39" spans="1:9" ht="15" customHeight="1" x14ac:dyDescent="0.25">
      <c r="A39" s="434" t="s">
        <v>543</v>
      </c>
      <c r="B39" s="352"/>
      <c r="C39" s="406">
        <v>170068.3</v>
      </c>
      <c r="D39" s="386">
        <v>133102</v>
      </c>
      <c r="E39" s="406">
        <f t="shared" ref="E39" si="4">F39-D39</f>
        <v>1066898</v>
      </c>
      <c r="F39" s="369">
        <v>1200000</v>
      </c>
      <c r="G39" s="369">
        <v>1200000</v>
      </c>
      <c r="H39" s="16"/>
      <c r="I39" s="402"/>
    </row>
    <row r="40" spans="1:9" ht="15" customHeight="1" x14ac:dyDescent="0.25">
      <c r="A40" s="434" t="s">
        <v>679</v>
      </c>
      <c r="B40" s="352"/>
      <c r="C40" s="406"/>
      <c r="D40" s="386"/>
      <c r="E40" s="406"/>
      <c r="F40" s="369">
        <v>500000</v>
      </c>
      <c r="G40" s="369">
        <v>500000</v>
      </c>
      <c r="H40" s="16"/>
      <c r="I40" s="402"/>
    </row>
    <row r="41" spans="1:9" ht="15" customHeight="1" x14ac:dyDescent="0.25">
      <c r="A41" s="373" t="s">
        <v>239</v>
      </c>
      <c r="B41" s="352" t="s">
        <v>240</v>
      </c>
      <c r="C41" s="406">
        <v>1527157</v>
      </c>
      <c r="D41" s="386">
        <v>320991.5</v>
      </c>
      <c r="E41" s="406">
        <f t="shared" si="3"/>
        <v>4679008.5</v>
      </c>
      <c r="F41" s="369">
        <v>5000000</v>
      </c>
      <c r="G41" s="369">
        <v>4000000</v>
      </c>
      <c r="H41" s="16" t="s">
        <v>924</v>
      </c>
      <c r="I41" s="402"/>
    </row>
    <row r="42" spans="1:9" ht="15" customHeight="1" x14ac:dyDescent="0.25">
      <c r="A42" s="373" t="s">
        <v>53</v>
      </c>
      <c r="B42" s="352" t="s">
        <v>54</v>
      </c>
      <c r="C42" s="406">
        <v>5278292.72</v>
      </c>
      <c r="D42" s="386">
        <v>2492011.9500000002</v>
      </c>
      <c r="E42" s="406">
        <f t="shared" si="3"/>
        <v>2867988.05</v>
      </c>
      <c r="F42" s="369">
        <v>5360000</v>
      </c>
      <c r="G42" s="369">
        <v>5360000</v>
      </c>
      <c r="H42" s="16" t="s">
        <v>970</v>
      </c>
      <c r="I42" s="402"/>
    </row>
    <row r="43" spans="1:9" ht="15" customHeight="1" x14ac:dyDescent="0.25">
      <c r="A43" s="373" t="s">
        <v>139</v>
      </c>
      <c r="B43" s="352" t="s">
        <v>138</v>
      </c>
      <c r="C43" s="406">
        <v>1769738.39</v>
      </c>
      <c r="D43" s="386">
        <v>8725</v>
      </c>
      <c r="E43" s="406">
        <f t="shared" si="3"/>
        <v>1991275</v>
      </c>
      <c r="F43" s="369">
        <v>2000000</v>
      </c>
      <c r="G43" s="369">
        <v>1500000</v>
      </c>
      <c r="H43" s="16" t="s">
        <v>969</v>
      </c>
      <c r="I43" s="402"/>
    </row>
    <row r="44" spans="1:9" ht="15" customHeight="1" x14ac:dyDescent="0.25">
      <c r="A44" s="403" t="s">
        <v>55</v>
      </c>
      <c r="B44" s="365"/>
      <c r="C44" s="404"/>
      <c r="D44" s="576"/>
      <c r="E44" s="404"/>
      <c r="F44" s="366"/>
      <c r="G44" s="366"/>
      <c r="H44" s="16"/>
      <c r="I44" s="402"/>
    </row>
    <row r="45" spans="1:9" ht="15" customHeight="1" x14ac:dyDescent="0.25">
      <c r="A45" s="373" t="s">
        <v>56</v>
      </c>
      <c r="B45" s="352" t="s">
        <v>57</v>
      </c>
      <c r="C45" s="406">
        <v>1611386.05</v>
      </c>
      <c r="D45" s="386">
        <v>822703.16</v>
      </c>
      <c r="E45" s="406">
        <f t="shared" ref="E45:E46" si="5">F45-D45</f>
        <v>1677296.8399999999</v>
      </c>
      <c r="F45" s="369">
        <v>2500000</v>
      </c>
      <c r="G45" s="369">
        <v>2500000</v>
      </c>
      <c r="H45" s="16"/>
      <c r="I45" s="402"/>
    </row>
    <row r="46" spans="1:9" ht="15" customHeight="1" x14ac:dyDescent="0.25">
      <c r="A46" s="373" t="s">
        <v>137</v>
      </c>
      <c r="B46" s="352" t="s">
        <v>136</v>
      </c>
      <c r="C46" s="406">
        <v>11332598.210000001</v>
      </c>
      <c r="D46" s="386">
        <v>7390950.54</v>
      </c>
      <c r="E46" s="406">
        <f t="shared" si="5"/>
        <v>7609049.46</v>
      </c>
      <c r="F46" s="369">
        <v>15000000</v>
      </c>
      <c r="G46" s="369">
        <v>15000000</v>
      </c>
      <c r="H46" s="16" t="s">
        <v>970</v>
      </c>
      <c r="I46" s="402"/>
    </row>
    <row r="47" spans="1:9" ht="15" customHeight="1" x14ac:dyDescent="0.25">
      <c r="A47" s="403" t="s">
        <v>58</v>
      </c>
      <c r="B47" s="365"/>
      <c r="C47" s="404"/>
      <c r="D47" s="576"/>
      <c r="E47" s="404"/>
      <c r="F47" s="366"/>
      <c r="G47" s="366"/>
      <c r="H47" s="16"/>
      <c r="I47" s="402"/>
    </row>
    <row r="48" spans="1:9" ht="15" customHeight="1" x14ac:dyDescent="0.25">
      <c r="A48" s="373" t="s">
        <v>61</v>
      </c>
      <c r="B48" s="352" t="s">
        <v>62</v>
      </c>
      <c r="C48" s="406">
        <v>24000</v>
      </c>
      <c r="D48" s="386">
        <v>18000</v>
      </c>
      <c r="E48" s="406">
        <f t="shared" ref="E48" si="6">F48-D48</f>
        <v>18000</v>
      </c>
      <c r="F48" s="369">
        <v>36000</v>
      </c>
      <c r="G48" s="369">
        <v>36000</v>
      </c>
      <c r="H48" s="811">
        <v>36000</v>
      </c>
      <c r="I48" s="402"/>
    </row>
    <row r="49" spans="1:9" ht="15" customHeight="1" x14ac:dyDescent="0.25">
      <c r="A49" s="373" t="s">
        <v>63</v>
      </c>
      <c r="B49" s="352" t="s">
        <v>64</v>
      </c>
      <c r="C49" s="406"/>
      <c r="D49" s="386"/>
      <c r="E49" s="406"/>
      <c r="F49" s="369"/>
      <c r="G49" s="369"/>
      <c r="H49" s="16"/>
      <c r="I49" s="402"/>
    </row>
    <row r="50" spans="1:9" ht="15" customHeight="1" x14ac:dyDescent="0.25">
      <c r="A50" s="403" t="s">
        <v>69</v>
      </c>
      <c r="B50" s="365"/>
      <c r="C50" s="404"/>
      <c r="D50" s="576"/>
      <c r="E50" s="404"/>
      <c r="F50" s="366"/>
      <c r="G50" s="366"/>
      <c r="H50" s="16"/>
      <c r="I50" s="402"/>
    </row>
    <row r="51" spans="1:9" ht="15" customHeight="1" x14ac:dyDescent="0.25">
      <c r="A51" s="373" t="s">
        <v>72</v>
      </c>
      <c r="B51" s="352" t="s">
        <v>73</v>
      </c>
      <c r="C51" s="406"/>
      <c r="D51" s="386"/>
      <c r="E51" s="406">
        <f t="shared" ref="E51" si="7">F51-D51</f>
        <v>100000</v>
      </c>
      <c r="F51" s="369">
        <v>100000</v>
      </c>
      <c r="G51" s="369">
        <v>100000</v>
      </c>
      <c r="H51" s="16"/>
      <c r="I51" s="402"/>
    </row>
    <row r="52" spans="1:9" ht="15" customHeight="1" x14ac:dyDescent="0.25">
      <c r="A52" s="403" t="s">
        <v>79</v>
      </c>
      <c r="B52" s="365"/>
      <c r="C52" s="404"/>
      <c r="D52" s="576"/>
      <c r="E52" s="404"/>
      <c r="F52" s="366"/>
      <c r="G52" s="405"/>
      <c r="H52" s="16"/>
      <c r="I52" s="402"/>
    </row>
    <row r="53" spans="1:9" ht="15" customHeight="1" x14ac:dyDescent="0.25">
      <c r="A53" s="373" t="s">
        <v>80</v>
      </c>
      <c r="B53" s="352" t="s">
        <v>81</v>
      </c>
      <c r="C53" s="406">
        <v>569196.14</v>
      </c>
      <c r="D53" s="386">
        <v>517694.08</v>
      </c>
      <c r="E53" s="406">
        <f t="shared" ref="E53" si="8">F53-D53</f>
        <v>577905.91999999993</v>
      </c>
      <c r="F53" s="369">
        <v>1095600</v>
      </c>
      <c r="G53" s="408">
        <v>1143400</v>
      </c>
      <c r="H53" s="523">
        <v>1143400</v>
      </c>
      <c r="I53" s="402"/>
    </row>
    <row r="54" spans="1:9" ht="15" customHeight="1" x14ac:dyDescent="0.25">
      <c r="A54" s="403" t="s">
        <v>82</v>
      </c>
      <c r="B54" s="365"/>
      <c r="C54" s="404"/>
      <c r="D54" s="576"/>
      <c r="E54" s="404"/>
      <c r="F54" s="366"/>
      <c r="G54" s="405"/>
      <c r="H54" s="16"/>
      <c r="I54" s="402"/>
    </row>
    <row r="55" spans="1:9" ht="30" customHeight="1" x14ac:dyDescent="0.25">
      <c r="A55" s="373" t="s">
        <v>135</v>
      </c>
      <c r="B55" s="352" t="s">
        <v>134</v>
      </c>
      <c r="C55" s="406"/>
      <c r="D55" s="386"/>
      <c r="E55" s="406">
        <f t="shared" ref="E55:E59" si="9">F55-D55</f>
        <v>100000</v>
      </c>
      <c r="F55" s="369">
        <v>100000</v>
      </c>
      <c r="G55" s="369">
        <v>100000</v>
      </c>
      <c r="H55" s="16"/>
      <c r="I55" s="402"/>
    </row>
    <row r="56" spans="1:9" ht="30" customHeight="1" x14ac:dyDescent="0.25">
      <c r="A56" s="373" t="s">
        <v>120</v>
      </c>
      <c r="B56" s="352" t="s">
        <v>119</v>
      </c>
      <c r="C56" s="406">
        <v>231436</v>
      </c>
      <c r="D56" s="386">
        <v>218245</v>
      </c>
      <c r="E56" s="406">
        <f t="shared" si="9"/>
        <v>381755</v>
      </c>
      <c r="F56" s="369">
        <v>600000</v>
      </c>
      <c r="G56" s="369">
        <v>600000</v>
      </c>
      <c r="H56" s="16"/>
      <c r="I56" s="402"/>
    </row>
    <row r="57" spans="1:9" ht="30" customHeight="1" x14ac:dyDescent="0.25">
      <c r="A57" s="373" t="s">
        <v>118</v>
      </c>
      <c r="B57" s="352" t="s">
        <v>117</v>
      </c>
      <c r="C57" s="406">
        <v>4392791.32</v>
      </c>
      <c r="D57" s="386">
        <v>1020551.8</v>
      </c>
      <c r="E57" s="406">
        <f t="shared" si="9"/>
        <v>2479448.2000000002</v>
      </c>
      <c r="F57" s="369">
        <v>3500000</v>
      </c>
      <c r="G57" s="369">
        <v>3500000</v>
      </c>
      <c r="H57" s="16"/>
      <c r="I57" s="402"/>
    </row>
    <row r="58" spans="1:9" ht="30" customHeight="1" x14ac:dyDescent="0.25">
      <c r="A58" s="373" t="s">
        <v>133</v>
      </c>
      <c r="B58" s="352" t="s">
        <v>132</v>
      </c>
      <c r="C58" s="406"/>
      <c r="D58" s="386"/>
      <c r="E58" s="406">
        <f t="shared" si="9"/>
        <v>300000</v>
      </c>
      <c r="F58" s="369">
        <v>300000</v>
      </c>
      <c r="G58" s="369">
        <v>300000</v>
      </c>
      <c r="H58" s="16"/>
      <c r="I58" s="402"/>
    </row>
    <row r="59" spans="1:9" ht="30" customHeight="1" x14ac:dyDescent="0.25">
      <c r="A59" s="373" t="s">
        <v>116</v>
      </c>
      <c r="B59" s="352" t="s">
        <v>115</v>
      </c>
      <c r="C59" s="406">
        <v>48065.48</v>
      </c>
      <c r="D59" s="386">
        <v>1000</v>
      </c>
      <c r="E59" s="406">
        <f t="shared" si="9"/>
        <v>199000</v>
      </c>
      <c r="F59" s="369">
        <v>200000</v>
      </c>
      <c r="G59" s="369">
        <v>200000</v>
      </c>
      <c r="H59" s="16"/>
      <c r="I59" s="402"/>
    </row>
    <row r="60" spans="1:9" ht="15" customHeight="1" x14ac:dyDescent="0.25">
      <c r="A60" s="403" t="s">
        <v>351</v>
      </c>
      <c r="B60" s="365"/>
      <c r="C60" s="404"/>
      <c r="D60" s="576"/>
      <c r="E60" s="404"/>
      <c r="F60" s="366"/>
      <c r="G60" s="366"/>
      <c r="H60" s="16"/>
      <c r="I60" s="402"/>
    </row>
    <row r="61" spans="1:9" ht="15" customHeight="1" x14ac:dyDescent="0.25">
      <c r="A61" s="373" t="s">
        <v>142</v>
      </c>
      <c r="B61" s="352" t="s">
        <v>180</v>
      </c>
      <c r="C61" s="406"/>
      <c r="D61" s="386"/>
      <c r="E61" s="406">
        <f t="shared" ref="E61:E63" si="10">F61-D61</f>
        <v>10000</v>
      </c>
      <c r="F61" s="369">
        <v>10000</v>
      </c>
      <c r="G61" s="369">
        <v>10000</v>
      </c>
      <c r="H61" s="16"/>
      <c r="I61" s="402"/>
    </row>
    <row r="62" spans="1:9" ht="15" customHeight="1" x14ac:dyDescent="0.25">
      <c r="A62" s="373" t="s">
        <v>141</v>
      </c>
      <c r="B62" s="352" t="s">
        <v>181</v>
      </c>
      <c r="C62" s="406"/>
      <c r="D62" s="386"/>
      <c r="E62" s="406">
        <f t="shared" si="10"/>
        <v>15000</v>
      </c>
      <c r="F62" s="369">
        <v>15000</v>
      </c>
      <c r="G62" s="369"/>
      <c r="H62" s="16"/>
      <c r="I62" s="402"/>
    </row>
    <row r="63" spans="1:9" ht="15" customHeight="1" x14ac:dyDescent="0.25">
      <c r="A63" s="472" t="s">
        <v>140</v>
      </c>
      <c r="B63" s="442" t="s">
        <v>182</v>
      </c>
      <c r="C63" s="443">
        <v>3098199.28</v>
      </c>
      <c r="D63" s="566">
        <v>2345325.58</v>
      </c>
      <c r="E63" s="443">
        <f t="shared" si="10"/>
        <v>1154674.42</v>
      </c>
      <c r="F63" s="444">
        <v>3500000</v>
      </c>
      <c r="G63" s="444">
        <v>3500000</v>
      </c>
      <c r="H63" s="16"/>
      <c r="I63" s="402"/>
    </row>
    <row r="64" spans="1:9" ht="15" customHeight="1" x14ac:dyDescent="0.25">
      <c r="A64" s="587" t="s">
        <v>42</v>
      </c>
      <c r="B64" s="365"/>
      <c r="C64" s="404"/>
      <c r="D64" s="576"/>
      <c r="E64" s="404"/>
      <c r="F64" s="366"/>
      <c r="G64" s="405"/>
      <c r="H64" s="16"/>
      <c r="I64" s="402"/>
    </row>
    <row r="65" spans="1:11" ht="15" customHeight="1" x14ac:dyDescent="0.25">
      <c r="A65" s="373" t="s">
        <v>42</v>
      </c>
      <c r="B65" s="433" t="s">
        <v>176</v>
      </c>
      <c r="C65" s="406">
        <v>1751043.4</v>
      </c>
      <c r="D65" s="386">
        <v>890876</v>
      </c>
      <c r="E65" s="406">
        <f t="shared" ref="E65" si="11">F65-D65</f>
        <v>2109124</v>
      </c>
      <c r="F65" s="369">
        <v>3000000</v>
      </c>
      <c r="G65" s="369">
        <v>3000000</v>
      </c>
      <c r="H65" s="16" t="s">
        <v>924</v>
      </c>
      <c r="I65" s="402"/>
    </row>
    <row r="66" spans="1:11" s="44" customFormat="1" ht="30" customHeight="1" x14ac:dyDescent="0.25">
      <c r="A66" s="396" t="s">
        <v>86</v>
      </c>
      <c r="B66" s="397"/>
      <c r="C66" s="398">
        <f>SUM(C38:C65)</f>
        <v>41454048.670000002</v>
      </c>
      <c r="D66" s="398">
        <f>SUM(D38:D65)</f>
        <v>20162139.109999999</v>
      </c>
      <c r="E66" s="398">
        <f>SUM(E38:E65)</f>
        <v>35854460.890000001</v>
      </c>
      <c r="F66" s="398">
        <f>SUM(F38:F65)</f>
        <v>56516600</v>
      </c>
      <c r="G66" s="398">
        <f>SUM(G38:G65)</f>
        <v>55049400</v>
      </c>
      <c r="H66" s="796">
        <v>42074000</v>
      </c>
      <c r="I66" s="400"/>
      <c r="J66" s="830" t="s">
        <v>905</v>
      </c>
      <c r="K66" s="829">
        <f>CGSO_MOOE-H66</f>
        <v>12975400</v>
      </c>
    </row>
    <row r="67" spans="1:11" ht="15" customHeight="1" x14ac:dyDescent="0.25">
      <c r="A67" s="429" t="s">
        <v>88</v>
      </c>
      <c r="B67" s="362"/>
      <c r="C67" s="430"/>
      <c r="D67" s="363"/>
      <c r="E67" s="430"/>
      <c r="F67" s="363"/>
      <c r="G67" s="588"/>
      <c r="H67" s="16"/>
      <c r="I67" s="402"/>
    </row>
    <row r="68" spans="1:11" ht="15" customHeight="1" x14ac:dyDescent="0.25">
      <c r="A68" s="403" t="s">
        <v>92</v>
      </c>
      <c r="B68" s="365"/>
      <c r="C68" s="404"/>
      <c r="D68" s="366"/>
      <c r="E68" s="404"/>
      <c r="F68" s="366"/>
      <c r="G68" s="589"/>
      <c r="H68" s="16"/>
      <c r="I68" s="402"/>
    </row>
    <row r="69" spans="1:11" ht="15" customHeight="1" x14ac:dyDescent="0.25">
      <c r="A69" s="373" t="s">
        <v>93</v>
      </c>
      <c r="B69" s="352" t="s">
        <v>94</v>
      </c>
      <c r="C69" s="406">
        <v>80000</v>
      </c>
      <c r="D69" s="369">
        <v>2000000</v>
      </c>
      <c r="E69" s="406">
        <f t="shared" ref="E69:E70" si="12">F69-D69</f>
        <v>0</v>
      </c>
      <c r="F69" s="369">
        <v>2000000</v>
      </c>
      <c r="G69" s="369">
        <v>2000000</v>
      </c>
      <c r="H69" s="16"/>
      <c r="I69" s="402"/>
    </row>
    <row r="70" spans="1:11" ht="15" customHeight="1" x14ac:dyDescent="0.25">
      <c r="A70" s="373" t="s">
        <v>95</v>
      </c>
      <c r="B70" s="352" t="s">
        <v>96</v>
      </c>
      <c r="C70" s="406">
        <v>1340593</v>
      </c>
      <c r="D70" s="369">
        <v>447262</v>
      </c>
      <c r="E70" s="406">
        <f t="shared" si="12"/>
        <v>2552738</v>
      </c>
      <c r="F70" s="369">
        <v>3000000</v>
      </c>
      <c r="G70" s="369">
        <v>3000000</v>
      </c>
      <c r="H70" s="16"/>
      <c r="I70" s="402"/>
    </row>
    <row r="71" spans="1:11" ht="30" customHeight="1" x14ac:dyDescent="0.25">
      <c r="A71" s="373" t="s">
        <v>97</v>
      </c>
      <c r="B71" s="352" t="s">
        <v>98</v>
      </c>
      <c r="C71" s="406">
        <v>2116888.4</v>
      </c>
      <c r="D71" s="369">
        <v>1377801</v>
      </c>
      <c r="E71" s="406">
        <f t="shared" ref="E71:E73" si="13">F71-D71</f>
        <v>3622199</v>
      </c>
      <c r="F71" s="369">
        <v>5000000</v>
      </c>
      <c r="G71" s="369">
        <v>5000000</v>
      </c>
      <c r="H71" s="16"/>
      <c r="I71" s="402"/>
    </row>
    <row r="72" spans="1:11" s="45" customFormat="1" ht="15" customHeight="1" x14ac:dyDescent="0.25">
      <c r="A72" s="373" t="s">
        <v>99</v>
      </c>
      <c r="B72" s="352" t="s">
        <v>100</v>
      </c>
      <c r="C72" s="468">
        <v>64500</v>
      </c>
      <c r="D72" s="469">
        <v>51993</v>
      </c>
      <c r="E72" s="468">
        <f t="shared" si="13"/>
        <v>448007</v>
      </c>
      <c r="F72" s="469">
        <v>500000</v>
      </c>
      <c r="G72" s="469">
        <v>500000</v>
      </c>
      <c r="H72" s="411"/>
      <c r="I72" s="412"/>
    </row>
    <row r="73" spans="1:11" x14ac:dyDescent="0.25">
      <c r="A73" s="373" t="s">
        <v>301</v>
      </c>
      <c r="B73" s="471" t="s">
        <v>296</v>
      </c>
      <c r="C73" s="590">
        <v>1051333</v>
      </c>
      <c r="D73" s="591">
        <v>121000</v>
      </c>
      <c r="E73" s="590">
        <f t="shared" si="13"/>
        <v>879000</v>
      </c>
      <c r="F73" s="469">
        <v>1000000</v>
      </c>
      <c r="G73" s="469">
        <v>1000000</v>
      </c>
      <c r="H73" s="16"/>
      <c r="I73" s="402"/>
    </row>
    <row r="74" spans="1:11" s="45" customFormat="1" ht="15" customHeight="1" x14ac:dyDescent="0.25">
      <c r="A74" s="403" t="s">
        <v>101</v>
      </c>
      <c r="B74" s="365"/>
      <c r="C74" s="465"/>
      <c r="D74" s="466"/>
      <c r="E74" s="468"/>
      <c r="F74" s="466"/>
      <c r="G74" s="466"/>
      <c r="H74" s="411"/>
      <c r="I74" s="412"/>
    </row>
    <row r="75" spans="1:11" s="45" customFormat="1" ht="15" customHeight="1" x14ac:dyDescent="0.25">
      <c r="A75" s="373" t="s">
        <v>102</v>
      </c>
      <c r="B75" s="352" t="s">
        <v>103</v>
      </c>
      <c r="C75" s="468"/>
      <c r="D75" s="469">
        <v>1137000</v>
      </c>
      <c r="E75" s="468">
        <f t="shared" ref="E75" si="14">F75-D75</f>
        <v>4363000</v>
      </c>
      <c r="F75" s="469">
        <v>5500000</v>
      </c>
      <c r="G75" s="469">
        <v>5500000</v>
      </c>
      <c r="H75" s="411"/>
      <c r="I75" s="412"/>
    </row>
    <row r="76" spans="1:11" ht="15" customHeight="1" x14ac:dyDescent="0.25">
      <c r="A76" s="403" t="s">
        <v>104</v>
      </c>
      <c r="B76" s="365"/>
      <c r="C76" s="404"/>
      <c r="D76" s="366"/>
      <c r="E76" s="404"/>
      <c r="F76" s="366"/>
      <c r="G76" s="366"/>
      <c r="H76" s="16"/>
      <c r="I76" s="402"/>
    </row>
    <row r="77" spans="1:11" ht="15" customHeight="1" x14ac:dyDescent="0.25">
      <c r="A77" s="373" t="s">
        <v>105</v>
      </c>
      <c r="B77" s="352" t="s">
        <v>106</v>
      </c>
      <c r="C77" s="406">
        <v>661782</v>
      </c>
      <c r="D77" s="369">
        <v>139885</v>
      </c>
      <c r="E77" s="406">
        <f t="shared" ref="E77" si="15">F77-D77</f>
        <v>1860115</v>
      </c>
      <c r="F77" s="369">
        <v>2000000</v>
      </c>
      <c r="G77" s="369">
        <v>2000000</v>
      </c>
      <c r="H77" s="16"/>
      <c r="I77" s="402"/>
    </row>
    <row r="78" spans="1:11" s="45" customFormat="1" ht="15" customHeight="1" x14ac:dyDescent="0.25">
      <c r="A78" s="403" t="s">
        <v>109</v>
      </c>
      <c r="B78" s="365"/>
      <c r="C78" s="465"/>
      <c r="D78" s="466"/>
      <c r="E78" s="468"/>
      <c r="F78" s="466"/>
      <c r="G78" s="466"/>
      <c r="H78" s="411"/>
      <c r="I78" s="412"/>
    </row>
    <row r="79" spans="1:11" ht="15" customHeight="1" x14ac:dyDescent="0.25">
      <c r="A79" s="472" t="s">
        <v>110</v>
      </c>
      <c r="B79" s="442" t="s">
        <v>111</v>
      </c>
      <c r="C79" s="473">
        <v>180000</v>
      </c>
      <c r="D79" s="474"/>
      <c r="E79" s="473">
        <f t="shared" ref="E79" si="16">F79-D79</f>
        <v>1150000</v>
      </c>
      <c r="F79" s="474">
        <v>1150000</v>
      </c>
      <c r="G79" s="474">
        <v>1150000</v>
      </c>
      <c r="H79" s="16"/>
      <c r="I79" s="402"/>
    </row>
    <row r="80" spans="1:11" s="44" customFormat="1" ht="15" customHeight="1" x14ac:dyDescent="0.25">
      <c r="A80" s="396" t="s">
        <v>112</v>
      </c>
      <c r="B80" s="436"/>
      <c r="C80" s="398">
        <f>SUM(C67:C79)</f>
        <v>5495096.4000000004</v>
      </c>
      <c r="D80" s="398">
        <f>SUM(D67:D79)</f>
        <v>5274941</v>
      </c>
      <c r="E80" s="398">
        <f>SUM(E67:E79)</f>
        <v>14875059</v>
      </c>
      <c r="F80" s="398">
        <f>SUM(F67:F79)</f>
        <v>20150000</v>
      </c>
      <c r="G80" s="398">
        <f>SUM(G69:G79)</f>
        <v>20150000</v>
      </c>
      <c r="H80" s="783">
        <v>17000000</v>
      </c>
      <c r="I80" s="400"/>
    </row>
    <row r="81" spans="1:9" s="53" customFormat="1" ht="15" customHeight="1" x14ac:dyDescent="0.25">
      <c r="A81" s="419" t="s">
        <v>113</v>
      </c>
      <c r="B81" s="437"/>
      <c r="C81" s="421">
        <f>C35+C66+C80</f>
        <v>55243807.229999997</v>
      </c>
      <c r="D81" s="421">
        <f>D35+D66+D80</f>
        <v>29370998.48</v>
      </c>
      <c r="E81" s="421">
        <f>E35+E66+E80</f>
        <v>56844442.640000001</v>
      </c>
      <c r="F81" s="421">
        <f>F35+F66+F80</f>
        <v>86715441.120000005</v>
      </c>
      <c r="G81" s="421">
        <f>G35+G66+G80</f>
        <v>86096643.69600001</v>
      </c>
      <c r="H81" s="592"/>
      <c r="I81" s="1052"/>
    </row>
    <row r="82" spans="1:9" x14ac:dyDescent="0.25">
      <c r="A82" s="16"/>
      <c r="B82" s="16"/>
      <c r="C82" s="16"/>
      <c r="D82" s="16"/>
      <c r="E82" s="16"/>
      <c r="F82" s="561"/>
      <c r="G82" s="593"/>
      <c r="H82" s="16"/>
      <c r="I82" s="402"/>
    </row>
    <row r="83" spans="1:9" x14ac:dyDescent="0.25">
      <c r="A83" s="16"/>
      <c r="B83" s="16"/>
      <c r="C83" s="16"/>
      <c r="D83" s="16"/>
      <c r="E83" s="16"/>
      <c r="F83" s="16"/>
      <c r="G83" s="16"/>
      <c r="H83" s="16"/>
      <c r="I83" s="402"/>
    </row>
    <row r="84" spans="1:9" x14ac:dyDescent="0.25">
      <c r="A84" s="16"/>
      <c r="B84" s="16"/>
      <c r="C84" s="16"/>
      <c r="D84" s="16"/>
      <c r="E84" s="16"/>
      <c r="F84" s="16"/>
      <c r="G84" s="16"/>
      <c r="H84" s="16"/>
      <c r="I84" s="402"/>
    </row>
    <row r="85" spans="1:9" x14ac:dyDescent="0.25">
      <c r="A85" s="16"/>
      <c r="B85" s="16"/>
      <c r="C85" s="16"/>
      <c r="D85" s="16"/>
      <c r="E85" s="16"/>
      <c r="F85" s="16"/>
      <c r="G85" s="16"/>
      <c r="H85" s="16"/>
      <c r="I85" s="402"/>
    </row>
    <row r="86" spans="1:9" ht="38.25" customHeight="1" x14ac:dyDescent="0.25">
      <c r="A86" s="16"/>
      <c r="B86" s="16"/>
      <c r="C86" s="16"/>
      <c r="D86" s="16"/>
      <c r="E86" s="16"/>
      <c r="F86" s="16"/>
      <c r="G86" s="16"/>
      <c r="H86" s="16"/>
      <c r="I86" s="402"/>
    </row>
    <row r="87" spans="1:9" x14ac:dyDescent="0.25">
      <c r="A87" s="16"/>
      <c r="B87" s="16"/>
      <c r="C87" s="16"/>
      <c r="D87" s="16"/>
      <c r="E87" s="16"/>
      <c r="F87" s="16"/>
      <c r="G87" s="16"/>
      <c r="H87" s="16"/>
      <c r="I87" s="402"/>
    </row>
    <row r="88" spans="1:9" x14ac:dyDescent="0.25">
      <c r="A88" s="16"/>
      <c r="B88" s="16"/>
      <c r="C88" s="16"/>
      <c r="D88" s="16"/>
      <c r="E88" s="16"/>
      <c r="F88" s="16"/>
      <c r="G88" s="16"/>
      <c r="H88" s="16"/>
      <c r="I88" s="402"/>
    </row>
    <row r="89" spans="1:9" x14ac:dyDescent="0.25">
      <c r="A89" s="16"/>
      <c r="B89" s="16"/>
      <c r="C89" s="16"/>
      <c r="D89" s="16"/>
      <c r="E89" s="16"/>
      <c r="F89" s="16"/>
      <c r="G89" s="16"/>
      <c r="H89" s="16"/>
      <c r="I89" s="402"/>
    </row>
    <row r="90" spans="1:9" x14ac:dyDescent="0.25">
      <c r="A90" s="16"/>
      <c r="B90" s="16"/>
      <c r="C90" s="16"/>
      <c r="D90" s="16"/>
      <c r="E90" s="16"/>
      <c r="F90" s="16"/>
      <c r="G90" s="16"/>
      <c r="H90" s="16"/>
      <c r="I90" s="402"/>
    </row>
    <row r="91" spans="1:9" x14ac:dyDescent="0.25">
      <c r="A91" s="16"/>
      <c r="B91" s="353"/>
      <c r="C91" s="16"/>
      <c r="D91" s="16"/>
      <c r="E91" s="16"/>
      <c r="F91" s="16"/>
      <c r="G91" s="16"/>
      <c r="H91" s="16"/>
      <c r="I91" s="402"/>
    </row>
    <row r="92" spans="1:9" x14ac:dyDescent="0.25">
      <c r="A92" s="16"/>
      <c r="B92" s="16"/>
      <c r="C92" s="16"/>
      <c r="D92" s="16"/>
      <c r="E92" s="16"/>
      <c r="F92" s="16"/>
      <c r="G92" s="16"/>
      <c r="H92" s="16"/>
      <c r="I92" s="402"/>
    </row>
    <row r="93" spans="1:9" x14ac:dyDescent="0.25">
      <c r="A93" s="16"/>
      <c r="B93" s="16"/>
      <c r="C93" s="16"/>
      <c r="D93" s="16"/>
      <c r="E93" s="16"/>
      <c r="F93" s="16"/>
      <c r="G93" s="16"/>
      <c r="H93" s="16"/>
      <c r="I93" s="402"/>
    </row>
    <row r="94" spans="1:9" x14ac:dyDescent="0.25">
      <c r="A94" s="16"/>
      <c r="B94" s="16"/>
      <c r="C94" s="16"/>
      <c r="D94" s="16"/>
      <c r="E94" s="16"/>
      <c r="F94" s="16"/>
      <c r="G94" s="16"/>
      <c r="H94" s="16"/>
      <c r="I94"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0" fitToHeight="0" orientation="portrait" horizontalDpi="360" verticalDpi="360" r:id="rId1"/>
  <headerFooter scaleWithDoc="0">
    <oddFooter>&amp;C&amp;"Candara,Regular"&amp;10Page &amp;"Candara,Bold"&amp;P</oddFooter>
  </headerFooter>
  <rowBreaks count="1" manualBreakCount="1">
    <brk id="60"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fitToPage="1"/>
  </sheetPr>
  <dimension ref="A1:J92"/>
  <sheetViews>
    <sheetView view="pageBreakPreview" topLeftCell="A4" zoomScale="115" zoomScaleNormal="130" zoomScaleSheetLayoutView="115" workbookViewId="0">
      <pane xSplit="2" ySplit="5" topLeftCell="C21" activePane="bottomRight" state="frozen"/>
      <selection activeCell="C40" sqref="C40"/>
      <selection pane="topRight" activeCell="C40" sqref="C40"/>
      <selection pane="bottomLeft" activeCell="C40" sqref="C40"/>
      <selection pane="bottomRight" activeCell="I45" sqref="I45"/>
    </sheetView>
  </sheetViews>
  <sheetFormatPr defaultColWidth="9.140625" defaultRowHeight="15" x14ac:dyDescent="0.25"/>
  <cols>
    <col min="1" max="1" width="37.7109375" style="41" customWidth="1"/>
    <col min="2" max="2" width="12.7109375" style="41" customWidth="1"/>
    <col min="3" max="7" width="14.7109375" style="41" customWidth="1"/>
    <col min="8" max="8" width="13.85546875" style="41" bestFit="1" customWidth="1"/>
    <col min="9" max="9" width="16.42578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144</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13</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(13)</v>
      </c>
      <c r="B12" s="352" t="s">
        <v>6</v>
      </c>
      <c r="C12" s="406">
        <v>4494198.18</v>
      </c>
      <c r="D12" s="369">
        <v>2386551.3199999998</v>
      </c>
      <c r="E12" s="406">
        <f>F12-D12</f>
        <v>3658995.8800000013</v>
      </c>
      <c r="F12" s="369">
        <v>6045547.2000000011</v>
      </c>
      <c r="G12" s="408">
        <f>H12+I12</f>
        <v>6384644.3999999985</v>
      </c>
      <c r="H12" s="438">
        <v>6228644.3999999985</v>
      </c>
      <c r="I12" s="49">
        <f>I14/2</f>
        <v>156000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268000</v>
      </c>
      <c r="D14" s="369">
        <v>144000</v>
      </c>
      <c r="E14" s="406">
        <f t="shared" ref="E14:E17" si="0">F14-D14</f>
        <v>168000</v>
      </c>
      <c r="F14" s="369">
        <v>312000</v>
      </c>
      <c r="G14" s="408">
        <f>param_pera*CBO_PLATILLA_ITEMS*12</f>
        <v>312000</v>
      </c>
      <c r="H14" s="402"/>
      <c r="I14" s="49">
        <v>312000</v>
      </c>
    </row>
    <row r="15" spans="1:9" ht="15" customHeight="1" x14ac:dyDescent="0.25">
      <c r="A15" s="373" t="s">
        <v>11</v>
      </c>
      <c r="B15" s="352" t="s">
        <v>12</v>
      </c>
      <c r="C15" s="406">
        <v>81000</v>
      </c>
      <c r="D15" s="369">
        <v>40500</v>
      </c>
      <c r="E15" s="406">
        <f t="shared" si="0"/>
        <v>94500</v>
      </c>
      <c r="F15" s="369">
        <v>135000</v>
      </c>
      <c r="G15" s="408">
        <f>H15*12</f>
        <v>135000</v>
      </c>
      <c r="H15" s="402">
        <v>11250</v>
      </c>
    </row>
    <row r="16" spans="1:9" ht="15" customHeight="1" x14ac:dyDescent="0.25">
      <c r="A16" s="373" t="s">
        <v>13</v>
      </c>
      <c r="B16" s="352" t="s">
        <v>14</v>
      </c>
      <c r="C16" s="406">
        <v>81000</v>
      </c>
      <c r="D16" s="369">
        <v>40500</v>
      </c>
      <c r="E16" s="406">
        <f t="shared" si="0"/>
        <v>94500</v>
      </c>
      <c r="F16" s="369">
        <v>135000</v>
      </c>
      <c r="G16" s="408">
        <f>H16*12</f>
        <v>135000</v>
      </c>
      <c r="H16" s="402">
        <v>11250</v>
      </c>
    </row>
    <row r="17" spans="1:10" ht="15" customHeight="1" x14ac:dyDescent="0.25">
      <c r="A17" s="373" t="s">
        <v>15</v>
      </c>
      <c r="B17" s="352" t="s">
        <v>16</v>
      </c>
      <c r="C17" s="406">
        <v>66000</v>
      </c>
      <c r="D17" s="369">
        <v>72000</v>
      </c>
      <c r="E17" s="406">
        <f t="shared" si="0"/>
        <v>6000</v>
      </c>
      <c r="F17" s="369">
        <v>78000</v>
      </c>
      <c r="G17" s="408">
        <f>param_uniform*CBO_PLATILLA_ITEMS</f>
        <v>78000</v>
      </c>
      <c r="H17" s="402"/>
    </row>
    <row r="18" spans="1:10" ht="15" customHeight="1" x14ac:dyDescent="0.25">
      <c r="A18" s="373" t="s">
        <v>126</v>
      </c>
      <c r="B18" s="352" t="s">
        <v>125</v>
      </c>
      <c r="C18" s="406"/>
      <c r="D18" s="369"/>
      <c r="E18" s="406"/>
      <c r="F18" s="369"/>
      <c r="G18" s="408"/>
      <c r="H18" s="402"/>
    </row>
    <row r="19" spans="1:10" ht="15" customHeight="1" x14ac:dyDescent="0.25">
      <c r="A19" s="373" t="s">
        <v>17</v>
      </c>
      <c r="B19" s="352" t="s">
        <v>18</v>
      </c>
      <c r="C19" s="406">
        <v>372875</v>
      </c>
      <c r="D19" s="369"/>
      <c r="E19" s="406">
        <f t="shared" ref="E19:E20" si="1">F19-D19</f>
        <v>503795.60000000009</v>
      </c>
      <c r="F19" s="369">
        <v>503795.60000000009</v>
      </c>
      <c r="G19" s="408">
        <f>H12/12+I19</f>
        <v>597053.69999999995</v>
      </c>
      <c r="H19" s="402"/>
      <c r="I19" s="49">
        <f>I14/4</f>
        <v>78000</v>
      </c>
    </row>
    <row r="20" spans="1:10" ht="15" customHeight="1" x14ac:dyDescent="0.25">
      <c r="A20" s="373" t="s">
        <v>19</v>
      </c>
      <c r="B20" s="352" t="s">
        <v>20</v>
      </c>
      <c r="C20" s="406">
        <v>56500</v>
      </c>
      <c r="D20" s="369"/>
      <c r="E20" s="406">
        <f t="shared" si="1"/>
        <v>65000</v>
      </c>
      <c r="F20" s="369">
        <v>65000</v>
      </c>
      <c r="G20" s="408">
        <f>param_cash_gift*CBO_PLATILLA_ITEMS</f>
        <v>65000</v>
      </c>
      <c r="H20" s="402"/>
      <c r="J20" s="41" t="s">
        <v>610</v>
      </c>
    </row>
    <row r="21" spans="1:10" ht="15" customHeight="1" x14ac:dyDescent="0.25">
      <c r="A21" s="403" t="s">
        <v>21</v>
      </c>
      <c r="B21" s="365"/>
      <c r="C21" s="404"/>
      <c r="D21" s="366"/>
      <c r="E21" s="406"/>
      <c r="F21" s="366"/>
      <c r="G21" s="405"/>
      <c r="H21" s="402"/>
    </row>
    <row r="22" spans="1:10" ht="15" customHeight="1" x14ac:dyDescent="0.25">
      <c r="A22" s="373" t="s">
        <v>22</v>
      </c>
      <c r="B22" s="352" t="s">
        <v>23</v>
      </c>
      <c r="C22" s="406">
        <v>539351.06999999995</v>
      </c>
      <c r="D22" s="369">
        <v>287138.49</v>
      </c>
      <c r="E22" s="406">
        <f t="shared" ref="E22:E25" si="2">F22-D22</f>
        <v>438327.17400000012</v>
      </c>
      <c r="F22" s="369">
        <v>725465.66400000011</v>
      </c>
      <c r="G22" s="408">
        <f>H12*12%</f>
        <v>747437.32799999975</v>
      </c>
      <c r="H22" s="402"/>
    </row>
    <row r="23" spans="1:10" ht="15" customHeight="1" x14ac:dyDescent="0.25">
      <c r="A23" s="373" t="s">
        <v>24</v>
      </c>
      <c r="B23" s="352" t="s">
        <v>25</v>
      </c>
      <c r="C23" s="406">
        <v>13400</v>
      </c>
      <c r="D23" s="369">
        <v>7200</v>
      </c>
      <c r="E23" s="406">
        <f t="shared" si="2"/>
        <v>16200</v>
      </c>
      <c r="F23" s="369">
        <v>23400</v>
      </c>
      <c r="G23" s="408">
        <f>param_pagibig*CBO_PLATILLA_ITEMS*12</f>
        <v>23400</v>
      </c>
      <c r="H23" s="402"/>
    </row>
    <row r="24" spans="1:10" ht="15" customHeight="1" x14ac:dyDescent="0.25">
      <c r="A24" s="373" t="s">
        <v>26</v>
      </c>
      <c r="B24" s="352" t="s">
        <v>27</v>
      </c>
      <c r="C24" s="406">
        <v>60526.54</v>
      </c>
      <c r="D24" s="369">
        <v>46399.3</v>
      </c>
      <c r="E24" s="406">
        <f t="shared" si="2"/>
        <v>91600.7</v>
      </c>
      <c r="F24" s="369">
        <v>138000</v>
      </c>
      <c r="G24" s="408">
        <f>ROUND(H24+(H24*0.1), -1)</f>
        <v>131380</v>
      </c>
      <c r="H24" s="402">
        <v>119434.72800000003</v>
      </c>
    </row>
    <row r="25" spans="1:10" ht="15" customHeight="1" x14ac:dyDescent="0.25">
      <c r="A25" s="373" t="s">
        <v>28</v>
      </c>
      <c r="B25" s="352" t="s">
        <v>29</v>
      </c>
      <c r="C25" s="406">
        <v>13400</v>
      </c>
      <c r="D25" s="369">
        <v>7200</v>
      </c>
      <c r="E25" s="406">
        <f t="shared" si="2"/>
        <v>16200</v>
      </c>
      <c r="F25" s="369">
        <v>23400</v>
      </c>
      <c r="G25" s="408">
        <f>param_ecc*CBO_PLATILLA_ITEMS*12</f>
        <v>23400</v>
      </c>
      <c r="H25" s="402"/>
    </row>
    <row r="26" spans="1:10" ht="15" customHeight="1" x14ac:dyDescent="0.25">
      <c r="A26" s="403" t="s">
        <v>30</v>
      </c>
      <c r="B26" s="365"/>
      <c r="C26" s="404"/>
      <c r="D26" s="366"/>
      <c r="E26" s="406"/>
      <c r="F26" s="366"/>
      <c r="G26" s="405"/>
      <c r="H26" s="402"/>
    </row>
    <row r="27" spans="1:10" ht="15" customHeight="1" x14ac:dyDescent="0.25">
      <c r="A27" s="373" t="s">
        <v>30</v>
      </c>
      <c r="B27" s="352" t="s">
        <v>33</v>
      </c>
      <c r="C27" s="406"/>
      <c r="D27" s="369"/>
      <c r="E27" s="369"/>
      <c r="F27" s="369"/>
      <c r="G27" s="408"/>
      <c r="H27" s="519">
        <f>SUM(G27:G34)</f>
        <v>732053.7</v>
      </c>
    </row>
    <row r="28" spans="1:10" ht="15" customHeight="1" x14ac:dyDescent="0.25">
      <c r="A28" s="434" t="s">
        <v>332</v>
      </c>
      <c r="B28" s="352"/>
      <c r="C28" s="406">
        <v>359915</v>
      </c>
      <c r="D28" s="369">
        <v>398593</v>
      </c>
      <c r="E28" s="406">
        <f t="shared" ref="E28:E31" si="3">F28-D28</f>
        <v>105202.60000000009</v>
      </c>
      <c r="F28" s="369">
        <v>503795.60000000009</v>
      </c>
      <c r="G28" s="408">
        <f>H12/12+I28</f>
        <v>597053.69999999995</v>
      </c>
      <c r="H28" s="402"/>
      <c r="I28" s="49">
        <f>I14/4</f>
        <v>78000</v>
      </c>
    </row>
    <row r="29" spans="1:10" ht="15" customHeight="1" x14ac:dyDescent="0.25">
      <c r="A29" s="434" t="s">
        <v>333</v>
      </c>
      <c r="B29" s="352"/>
      <c r="C29" s="406">
        <v>57500</v>
      </c>
      <c r="D29" s="369"/>
      <c r="E29" s="406">
        <f t="shared" si="3"/>
        <v>65000</v>
      </c>
      <c r="F29" s="369">
        <v>65000</v>
      </c>
      <c r="G29" s="408">
        <f>param_pei*CBO_PLATILLA_ITEMS</f>
        <v>65000</v>
      </c>
      <c r="H29" s="402"/>
    </row>
    <row r="30" spans="1:10" ht="30" customHeight="1" x14ac:dyDescent="0.25">
      <c r="A30" s="434" t="s">
        <v>649</v>
      </c>
      <c r="B30" s="352"/>
      <c r="C30" s="406"/>
      <c r="D30" s="369"/>
      <c r="E30" s="406">
        <f t="shared" si="3"/>
        <v>65000</v>
      </c>
      <c r="F30" s="369">
        <v>65000</v>
      </c>
      <c r="G30" s="408">
        <f>param_pbb*CBO_PLATILLA_ITEMS</f>
        <v>65000</v>
      </c>
      <c r="H30" s="402"/>
    </row>
    <row r="31" spans="1:10" ht="15" customHeight="1" x14ac:dyDescent="0.25">
      <c r="A31" s="441" t="s">
        <v>334</v>
      </c>
      <c r="B31" s="442"/>
      <c r="C31" s="443">
        <v>5000</v>
      </c>
      <c r="D31" s="444"/>
      <c r="E31" s="406">
        <f t="shared" si="3"/>
        <v>5000</v>
      </c>
      <c r="F31" s="444">
        <v>5000</v>
      </c>
      <c r="G31" s="387">
        <v>5000</v>
      </c>
      <c r="H31" s="519"/>
    </row>
    <row r="32" spans="1:10" ht="15" customHeight="1" x14ac:dyDescent="0.25">
      <c r="A32" s="376" t="s">
        <v>650</v>
      </c>
      <c r="B32" s="352"/>
      <c r="C32" s="369">
        <v>300000</v>
      </c>
      <c r="D32" s="369"/>
      <c r="E32" s="369"/>
      <c r="F32" s="369"/>
      <c r="G32" s="369"/>
      <c r="H32" s="375"/>
    </row>
    <row r="33" spans="1:9" ht="15" customHeight="1" x14ac:dyDescent="0.25">
      <c r="A33" s="376" t="s">
        <v>652</v>
      </c>
      <c r="B33" s="352"/>
      <c r="C33" s="369"/>
      <c r="D33" s="369"/>
      <c r="E33" s="369"/>
      <c r="F33" s="369"/>
      <c r="G33" s="369"/>
      <c r="H33" s="375"/>
    </row>
    <row r="34" spans="1:9" ht="15" customHeight="1" x14ac:dyDescent="0.25">
      <c r="A34" s="378" t="s">
        <v>653</v>
      </c>
      <c r="B34" s="379"/>
      <c r="C34" s="380">
        <v>114000</v>
      </c>
      <c r="D34" s="380"/>
      <c r="E34" s="381"/>
      <c r="F34" s="380"/>
      <c r="G34" s="380"/>
      <c r="H34" s="375"/>
    </row>
    <row r="35" spans="1:9" s="44" customFormat="1" ht="15" customHeight="1" x14ac:dyDescent="0.25">
      <c r="A35" s="396" t="s">
        <v>34</v>
      </c>
      <c r="B35" s="397"/>
      <c r="C35" s="398">
        <f>SUM(C11:C34)</f>
        <v>6882665.79</v>
      </c>
      <c r="D35" s="398">
        <f t="shared" ref="D35:F35" si="4">SUM(D11:D34)</f>
        <v>3430082.1099999994</v>
      </c>
      <c r="E35" s="398">
        <f t="shared" si="4"/>
        <v>5393321.9540000018</v>
      </c>
      <c r="F35" s="398">
        <f t="shared" si="4"/>
        <v>8823404.0640000012</v>
      </c>
      <c r="G35" s="398">
        <f>SUM(G11:G34)</f>
        <v>9364369.1279999986</v>
      </c>
      <c r="H35" s="400"/>
      <c r="I35" s="1048"/>
    </row>
    <row r="36" spans="1:9" ht="15" customHeight="1" x14ac:dyDescent="0.25">
      <c r="A36" s="429" t="s">
        <v>35</v>
      </c>
      <c r="B36" s="362"/>
      <c r="C36" s="430"/>
      <c r="D36" s="363"/>
      <c r="E36" s="430"/>
      <c r="F36" s="363"/>
      <c r="G36" s="431"/>
      <c r="H36" s="402"/>
    </row>
    <row r="37" spans="1:9" x14ac:dyDescent="0.25">
      <c r="A37" s="403" t="s">
        <v>55</v>
      </c>
      <c r="B37" s="365"/>
      <c r="C37" s="404"/>
      <c r="D37" s="366"/>
      <c r="E37" s="404"/>
      <c r="F37" s="366"/>
      <c r="G37" s="405"/>
      <c r="H37" s="402"/>
    </row>
    <row r="38" spans="1:9" x14ac:dyDescent="0.25">
      <c r="A38" s="373" t="s">
        <v>56</v>
      </c>
      <c r="B38" s="352" t="s">
        <v>57</v>
      </c>
      <c r="C38" s="406">
        <v>3220</v>
      </c>
      <c r="D38" s="369"/>
      <c r="E38" s="406">
        <f>F38-D38</f>
        <v>10000</v>
      </c>
      <c r="F38" s="369">
        <v>10000</v>
      </c>
      <c r="G38" s="408">
        <v>10000</v>
      </c>
      <c r="H38" s="402"/>
    </row>
    <row r="39" spans="1:9" x14ac:dyDescent="0.25">
      <c r="A39" s="403" t="s">
        <v>58</v>
      </c>
      <c r="B39" s="365"/>
      <c r="C39" s="404"/>
      <c r="D39" s="366"/>
      <c r="E39" s="404"/>
      <c r="F39" s="366"/>
      <c r="G39" s="405"/>
      <c r="H39" s="402"/>
    </row>
    <row r="40" spans="1:9" x14ac:dyDescent="0.25">
      <c r="A40" s="373" t="s">
        <v>61</v>
      </c>
      <c r="B40" s="352" t="s">
        <v>62</v>
      </c>
      <c r="C40" s="406">
        <v>24000</v>
      </c>
      <c r="D40" s="369">
        <v>15000</v>
      </c>
      <c r="E40" s="406">
        <f t="shared" ref="E40:E41" si="5">F40-D40</f>
        <v>21000</v>
      </c>
      <c r="F40" s="369">
        <v>36000</v>
      </c>
      <c r="G40" s="408">
        <v>36000</v>
      </c>
      <c r="H40" s="402"/>
    </row>
    <row r="41" spans="1:9" x14ac:dyDescent="0.25">
      <c r="A41" s="373" t="s">
        <v>63</v>
      </c>
      <c r="B41" s="352" t="s">
        <v>64</v>
      </c>
      <c r="C41" s="406">
        <v>30900</v>
      </c>
      <c r="D41" s="369">
        <v>12500</v>
      </c>
      <c r="E41" s="406">
        <f t="shared" si="5"/>
        <v>23500</v>
      </c>
      <c r="F41" s="369">
        <v>36000</v>
      </c>
      <c r="G41" s="369">
        <v>36000</v>
      </c>
      <c r="H41" s="402"/>
    </row>
    <row r="42" spans="1:9" x14ac:dyDescent="0.25">
      <c r="A42" s="403" t="s">
        <v>79</v>
      </c>
      <c r="B42" s="365"/>
      <c r="C42" s="404"/>
      <c r="D42" s="366"/>
      <c r="E42" s="404"/>
      <c r="F42" s="366"/>
      <c r="G42" s="405"/>
      <c r="H42" s="402"/>
    </row>
    <row r="43" spans="1:9" x14ac:dyDescent="0.25">
      <c r="A43" s="373" t="s">
        <v>80</v>
      </c>
      <c r="B43" s="352" t="s">
        <v>81</v>
      </c>
      <c r="C43" s="406">
        <v>181830</v>
      </c>
      <c r="D43" s="369">
        <v>91500</v>
      </c>
      <c r="E43" s="406">
        <f>F43-D43</f>
        <v>198500</v>
      </c>
      <c r="F43" s="369">
        <v>290000</v>
      </c>
      <c r="G43" s="408">
        <v>215000</v>
      </c>
      <c r="H43" s="440"/>
    </row>
    <row r="44" spans="1:9" ht="15" customHeight="1" x14ac:dyDescent="0.25">
      <c r="A44" s="403" t="s">
        <v>42</v>
      </c>
      <c r="B44" s="365"/>
      <c r="C44" s="404"/>
      <c r="D44" s="366"/>
      <c r="E44" s="404"/>
      <c r="F44" s="366"/>
      <c r="G44" s="405"/>
      <c r="H44" s="402"/>
    </row>
    <row r="45" spans="1:9" x14ac:dyDescent="0.25">
      <c r="A45" s="373" t="s">
        <v>40</v>
      </c>
      <c r="B45" s="433" t="s">
        <v>179</v>
      </c>
      <c r="C45" s="406"/>
      <c r="D45" s="369"/>
      <c r="E45" s="406"/>
      <c r="F45" s="369">
        <v>10000</v>
      </c>
      <c r="G45" s="408">
        <v>20000</v>
      </c>
      <c r="H45" s="440"/>
    </row>
    <row r="46" spans="1:9" ht="15" customHeight="1" x14ac:dyDescent="0.25">
      <c r="A46" s="373" t="s">
        <v>42</v>
      </c>
      <c r="B46" s="433" t="s">
        <v>176</v>
      </c>
      <c r="C46" s="406">
        <v>21595.82</v>
      </c>
      <c r="D46" s="369"/>
      <c r="E46" s="406">
        <f>F46-D46</f>
        <v>50000</v>
      </c>
      <c r="F46" s="369">
        <v>50000</v>
      </c>
      <c r="G46" s="369">
        <v>50000</v>
      </c>
      <c r="H46" s="402"/>
    </row>
    <row r="47" spans="1:9" s="44" customFormat="1" ht="30" customHeight="1" x14ac:dyDescent="0.25">
      <c r="A47" s="396" t="s">
        <v>86</v>
      </c>
      <c r="B47" s="397"/>
      <c r="C47" s="398">
        <f>SUM(C36:C46)</f>
        <v>261545.82</v>
      </c>
      <c r="D47" s="398">
        <f>SUM(D36:D46)</f>
        <v>119000</v>
      </c>
      <c r="E47" s="398">
        <f>SUM(E36:E46)</f>
        <v>303000</v>
      </c>
      <c r="F47" s="398">
        <f>SUM(F36:F46)</f>
        <v>432000</v>
      </c>
      <c r="G47" s="398">
        <f>SUM(G36:G46)</f>
        <v>367000</v>
      </c>
      <c r="H47" s="798">
        <v>367000</v>
      </c>
      <c r="I47" s="1048">
        <f>CBO_MOOE-H47</f>
        <v>0</v>
      </c>
    </row>
    <row r="48" spans="1:9" x14ac:dyDescent="0.25">
      <c r="A48" s="429" t="s">
        <v>88</v>
      </c>
      <c r="B48" s="362"/>
      <c r="C48" s="430"/>
      <c r="D48" s="363"/>
      <c r="E48" s="430"/>
      <c r="F48" s="525"/>
      <c r="G48" s="526"/>
      <c r="H48" s="16"/>
    </row>
    <row r="49" spans="1:9" s="44" customFormat="1" x14ac:dyDescent="0.25">
      <c r="A49" s="396" t="s">
        <v>112</v>
      </c>
      <c r="B49" s="436"/>
      <c r="C49" s="398">
        <f>SUM(C48:C48)</f>
        <v>0</v>
      </c>
      <c r="D49" s="398">
        <f>SUM(D48:D48)</f>
        <v>0</v>
      </c>
      <c r="E49" s="398">
        <f>SUM(E48:E48)</f>
        <v>0</v>
      </c>
      <c r="F49" s="398">
        <f>SUM(F48:F48)</f>
        <v>0</v>
      </c>
      <c r="G49" s="398">
        <v>0</v>
      </c>
      <c r="H49" s="401"/>
      <c r="I49" s="1048"/>
    </row>
    <row r="50" spans="1:9" s="53" customFormat="1" x14ac:dyDescent="0.25">
      <c r="A50" s="419" t="s">
        <v>113</v>
      </c>
      <c r="B50" s="437"/>
      <c r="C50" s="421">
        <f>C35+C47+C49</f>
        <v>7144211.6100000003</v>
      </c>
      <c r="D50" s="421">
        <f>D35+D47+D49</f>
        <v>3549082.1099999994</v>
      </c>
      <c r="E50" s="421">
        <f>E35+E47+E49</f>
        <v>5696321.9540000018</v>
      </c>
      <c r="F50" s="421">
        <f>F35+F47+F49</f>
        <v>9255404.0640000012</v>
      </c>
      <c r="G50" s="421">
        <f>G35+G47+G49</f>
        <v>9731369.1279999986</v>
      </c>
      <c r="H50" s="521"/>
      <c r="I50" s="1049"/>
    </row>
    <row r="51" spans="1:9" x14ac:dyDescent="0.25">
      <c r="A51" s="16"/>
      <c r="B51" s="16"/>
      <c r="C51" s="16"/>
      <c r="D51" s="16"/>
      <c r="E51" s="16"/>
      <c r="F51" s="16"/>
      <c r="G51" s="16"/>
      <c r="H51" s="16"/>
    </row>
    <row r="52" spans="1:9" x14ac:dyDescent="0.25">
      <c r="A52" s="16"/>
      <c r="B52" s="16"/>
      <c r="C52" s="16"/>
      <c r="D52" s="16"/>
      <c r="E52" s="16"/>
      <c r="F52" s="16"/>
      <c r="G52" s="16"/>
      <c r="H52" s="16"/>
    </row>
    <row r="53" spans="1:9" x14ac:dyDescent="0.25">
      <c r="A53" s="16"/>
      <c r="B53" s="16"/>
      <c r="C53" s="16"/>
      <c r="D53" s="16"/>
      <c r="E53" s="16"/>
      <c r="F53" s="16"/>
      <c r="G53" s="16"/>
      <c r="H53" s="16"/>
    </row>
    <row r="54" spans="1:9" x14ac:dyDescent="0.25">
      <c r="A54" s="16"/>
      <c r="B54" s="16"/>
      <c r="C54" s="16"/>
      <c r="D54" s="16"/>
      <c r="E54" s="16"/>
      <c r="F54" s="16"/>
      <c r="G54" s="16"/>
      <c r="H54" s="16"/>
    </row>
    <row r="55" spans="1:9" x14ac:dyDescent="0.25">
      <c r="A55" s="16"/>
      <c r="B55" s="16"/>
      <c r="C55" s="16"/>
      <c r="D55" s="16"/>
      <c r="E55" s="16"/>
      <c r="F55" s="16"/>
      <c r="G55" s="16"/>
      <c r="H55" s="16"/>
    </row>
    <row r="56" spans="1:9" x14ac:dyDescent="0.25">
      <c r="A56" s="16"/>
      <c r="B56" s="16"/>
      <c r="C56" s="16"/>
      <c r="D56" s="16"/>
      <c r="E56" s="16"/>
      <c r="F56" s="16"/>
      <c r="G56" s="16"/>
      <c r="H56" s="16"/>
    </row>
    <row r="57" spans="1:9" x14ac:dyDescent="0.25">
      <c r="A57" s="16"/>
      <c r="B57" s="16"/>
      <c r="C57" s="16"/>
      <c r="D57" s="16"/>
      <c r="E57" s="16"/>
      <c r="F57" s="16"/>
      <c r="G57" s="16"/>
      <c r="H57" s="16"/>
    </row>
    <row r="58" spans="1:9" x14ac:dyDescent="0.25">
      <c r="A58" s="16"/>
      <c r="B58" s="16"/>
      <c r="C58" s="16"/>
      <c r="D58" s="16"/>
      <c r="E58" s="16"/>
      <c r="F58" s="16"/>
      <c r="G58" s="16"/>
      <c r="H58" s="16"/>
    </row>
    <row r="59" spans="1:9" x14ac:dyDescent="0.25">
      <c r="A59" s="16"/>
      <c r="B59" s="16"/>
      <c r="C59" s="16"/>
      <c r="D59" s="16"/>
      <c r="E59" s="16"/>
      <c r="F59" s="16"/>
      <c r="G59" s="16"/>
      <c r="H59" s="16"/>
    </row>
    <row r="60" spans="1:9" x14ac:dyDescent="0.25">
      <c r="A60" s="16"/>
      <c r="B60" s="16"/>
      <c r="C60" s="16"/>
      <c r="D60" s="16"/>
      <c r="E60" s="16"/>
      <c r="F60" s="16"/>
      <c r="G60" s="16"/>
      <c r="H60" s="16"/>
    </row>
    <row r="61" spans="1:9" x14ac:dyDescent="0.25">
      <c r="A61" s="16"/>
      <c r="B61" s="16"/>
      <c r="C61" s="16"/>
      <c r="D61" s="16"/>
      <c r="E61" s="16"/>
      <c r="F61" s="16"/>
      <c r="G61" s="16"/>
      <c r="H61" s="16"/>
    </row>
    <row r="62" spans="1:9" x14ac:dyDescent="0.25">
      <c r="A62" s="16"/>
      <c r="B62" s="16"/>
      <c r="C62" s="16"/>
      <c r="D62" s="16"/>
      <c r="E62" s="16"/>
      <c r="F62" s="16"/>
      <c r="G62" s="16"/>
      <c r="H62" s="16"/>
    </row>
    <row r="63" spans="1:9" x14ac:dyDescent="0.25">
      <c r="A63" s="16"/>
      <c r="B63" s="16"/>
      <c r="C63" s="16"/>
      <c r="D63" s="16"/>
      <c r="E63" s="16"/>
      <c r="F63" s="16"/>
      <c r="G63" s="16"/>
      <c r="H63" s="16"/>
    </row>
    <row r="64" spans="1:9"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ht="38.25" customHeight="1"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353"/>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0"/>
    <pageSetUpPr fitToPage="1"/>
  </sheetPr>
  <dimension ref="A1:K83"/>
  <sheetViews>
    <sheetView view="pageBreakPreview" topLeftCell="A4" zoomScale="115" zoomScaleNormal="145" zoomScaleSheetLayoutView="115" workbookViewId="0">
      <pane xSplit="2" ySplit="5" topLeftCell="C42" activePane="bottomRight" state="frozen"/>
      <selection activeCell="C40" sqref="C40"/>
      <selection pane="topRight" activeCell="C40" sqref="C40"/>
      <selection pane="bottomLeft" activeCell="C40" sqref="C40"/>
      <selection pane="bottomRight" activeCell="N38" sqref="N38"/>
    </sheetView>
  </sheetViews>
  <sheetFormatPr defaultColWidth="9.140625" defaultRowHeight="15" x14ac:dyDescent="0.25"/>
  <cols>
    <col min="1" max="1" width="37.7109375" style="41" customWidth="1"/>
    <col min="2" max="2" width="12.7109375" style="41" customWidth="1"/>
    <col min="3" max="7" width="14.7109375" style="41" customWidth="1"/>
    <col min="8" max="8" width="14.85546875" style="41" customWidth="1"/>
    <col min="9" max="9" width="15.42578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145</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28</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(28)</v>
      </c>
      <c r="B12" s="352" t="s">
        <v>6</v>
      </c>
      <c r="C12" s="406">
        <v>9836190.5399999991</v>
      </c>
      <c r="D12" s="369">
        <v>5029480.7699999996</v>
      </c>
      <c r="E12" s="406">
        <f>F12-D12</f>
        <v>6468986.4300000016</v>
      </c>
      <c r="F12" s="369">
        <v>11498467.200000001</v>
      </c>
      <c r="G12" s="408">
        <f>H12+I12</f>
        <v>12247825.200000001</v>
      </c>
      <c r="H12" s="438">
        <v>11911825.200000001</v>
      </c>
      <c r="I12" s="49">
        <f>I14/2</f>
        <v>336000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600000</v>
      </c>
      <c r="D14" s="369">
        <v>290000</v>
      </c>
      <c r="E14" s="406">
        <f t="shared" ref="E14:E17" si="0">F14-D14</f>
        <v>382000</v>
      </c>
      <c r="F14" s="369">
        <v>672000</v>
      </c>
      <c r="G14" s="408">
        <f>param_pera*ACTNG_PLATILLA_ITEMS*12</f>
        <v>672000</v>
      </c>
      <c r="H14" s="402"/>
      <c r="I14" s="49">
        <v>672000</v>
      </c>
    </row>
    <row r="15" spans="1:9" ht="15" customHeight="1" x14ac:dyDescent="0.25">
      <c r="A15" s="373" t="s">
        <v>11</v>
      </c>
      <c r="B15" s="352" t="s">
        <v>12</v>
      </c>
      <c r="C15" s="406">
        <v>81000</v>
      </c>
      <c r="D15" s="369">
        <v>40500</v>
      </c>
      <c r="E15" s="406">
        <f t="shared" si="0"/>
        <v>40500</v>
      </c>
      <c r="F15" s="369">
        <v>81000</v>
      </c>
      <c r="G15" s="408">
        <f>H15*12</f>
        <v>81000</v>
      </c>
      <c r="H15" s="402">
        <v>6750</v>
      </c>
    </row>
    <row r="16" spans="1:9" ht="15" customHeight="1" x14ac:dyDescent="0.25">
      <c r="A16" s="373" t="s">
        <v>13</v>
      </c>
      <c r="B16" s="352" t="s">
        <v>14</v>
      </c>
      <c r="C16" s="406">
        <v>81000</v>
      </c>
      <c r="D16" s="369">
        <v>40500</v>
      </c>
      <c r="E16" s="406">
        <f t="shared" si="0"/>
        <v>40500</v>
      </c>
      <c r="F16" s="369">
        <v>81000</v>
      </c>
      <c r="G16" s="408">
        <f>H16*12</f>
        <v>81000</v>
      </c>
      <c r="H16" s="402">
        <v>6750</v>
      </c>
    </row>
    <row r="17" spans="1:11" ht="15" customHeight="1" x14ac:dyDescent="0.25">
      <c r="A17" s="373" t="s">
        <v>15</v>
      </c>
      <c r="B17" s="352" t="s">
        <v>16</v>
      </c>
      <c r="C17" s="406">
        <v>150000</v>
      </c>
      <c r="D17" s="369">
        <v>150000</v>
      </c>
      <c r="E17" s="406">
        <f t="shared" si="0"/>
        <v>18000</v>
      </c>
      <c r="F17" s="369">
        <v>168000</v>
      </c>
      <c r="G17" s="408">
        <f>param_uniform*ACTNG_PLATILLA_ITEMS</f>
        <v>168000</v>
      </c>
      <c r="H17" s="402"/>
    </row>
    <row r="18" spans="1:11" ht="15" customHeight="1" x14ac:dyDescent="0.25">
      <c r="A18" s="373" t="s">
        <v>126</v>
      </c>
      <c r="B18" s="352" t="s">
        <v>125</v>
      </c>
      <c r="C18" s="406"/>
      <c r="D18" s="369"/>
      <c r="E18" s="406"/>
      <c r="F18" s="369"/>
      <c r="G18" s="408"/>
      <c r="H18" s="402"/>
    </row>
    <row r="19" spans="1:11" ht="15" customHeight="1" x14ac:dyDescent="0.25">
      <c r="A19" s="373" t="s">
        <v>17</v>
      </c>
      <c r="B19" s="352" t="s">
        <v>18</v>
      </c>
      <c r="C19" s="406">
        <v>826228</v>
      </c>
      <c r="D19" s="369"/>
      <c r="E19" s="406">
        <f t="shared" ref="E19:E20" si="1">F19-D19</f>
        <v>958205.60000000009</v>
      </c>
      <c r="F19" s="369">
        <v>958205.60000000009</v>
      </c>
      <c r="G19" s="408">
        <f>H12/12+I19</f>
        <v>1160652.1000000001</v>
      </c>
      <c r="H19" s="402"/>
      <c r="I19" s="49">
        <f>I14/4</f>
        <v>168000</v>
      </c>
    </row>
    <row r="20" spans="1:11" ht="15" customHeight="1" x14ac:dyDescent="0.25">
      <c r="A20" s="373" t="s">
        <v>19</v>
      </c>
      <c r="B20" s="352" t="s">
        <v>20</v>
      </c>
      <c r="C20" s="406">
        <v>125000</v>
      </c>
      <c r="D20" s="369"/>
      <c r="E20" s="406">
        <f t="shared" si="1"/>
        <v>140000</v>
      </c>
      <c r="F20" s="369">
        <v>140000</v>
      </c>
      <c r="G20" s="408">
        <f>param_cash_gift*ACTNG_PLATILLA_ITEMS</f>
        <v>140000</v>
      </c>
      <c r="H20" s="402"/>
      <c r="K20" s="41" t="s">
        <v>610</v>
      </c>
    </row>
    <row r="21" spans="1:11" ht="15" customHeight="1" x14ac:dyDescent="0.25">
      <c r="A21" s="403" t="s">
        <v>21</v>
      </c>
      <c r="B21" s="365"/>
      <c r="C21" s="404"/>
      <c r="D21" s="366"/>
      <c r="E21" s="406"/>
      <c r="F21" s="366"/>
      <c r="G21" s="405"/>
      <c r="H21" s="402"/>
    </row>
    <row r="22" spans="1:11" ht="15" customHeight="1" x14ac:dyDescent="0.25">
      <c r="A22" s="373" t="s">
        <v>22</v>
      </c>
      <c r="B22" s="352" t="s">
        <v>23</v>
      </c>
      <c r="C22" s="406">
        <v>1180333.02</v>
      </c>
      <c r="D22" s="369">
        <v>603305.59</v>
      </c>
      <c r="E22" s="406">
        <f t="shared" ref="E22:E25" si="2">F22-D22</f>
        <v>776510.47400000005</v>
      </c>
      <c r="F22" s="369">
        <v>1379816.064</v>
      </c>
      <c r="G22" s="408">
        <f>H12*12%</f>
        <v>1429419.024</v>
      </c>
      <c r="H22" s="402"/>
    </row>
    <row r="23" spans="1:11" ht="15" customHeight="1" x14ac:dyDescent="0.25">
      <c r="A23" s="373" t="s">
        <v>24</v>
      </c>
      <c r="B23" s="352" t="s">
        <v>25</v>
      </c>
      <c r="C23" s="406">
        <v>27500</v>
      </c>
      <c r="D23" s="369">
        <v>14500</v>
      </c>
      <c r="E23" s="406">
        <f t="shared" si="2"/>
        <v>35900</v>
      </c>
      <c r="F23" s="369">
        <v>50400</v>
      </c>
      <c r="G23" s="408">
        <f>param_pagibig*ACTNG_PLATILLA_ITEMS*12</f>
        <v>50400</v>
      </c>
      <c r="H23" s="402"/>
    </row>
    <row r="24" spans="1:11" ht="15" customHeight="1" x14ac:dyDescent="0.25">
      <c r="A24" s="373" t="s">
        <v>26</v>
      </c>
      <c r="B24" s="352" t="s">
        <v>27</v>
      </c>
      <c r="C24" s="406">
        <v>140167.84</v>
      </c>
      <c r="D24" s="369">
        <v>98812.22</v>
      </c>
      <c r="E24" s="406">
        <f t="shared" si="2"/>
        <v>210187.78</v>
      </c>
      <c r="F24" s="369">
        <v>309000</v>
      </c>
      <c r="G24" s="408">
        <f>ROUND(H24+(H24*0.1), -1)</f>
        <v>252700</v>
      </c>
      <c r="H24" s="402">
        <v>229727.06399999995</v>
      </c>
    </row>
    <row r="25" spans="1:11" ht="15" customHeight="1" x14ac:dyDescent="0.25">
      <c r="A25" s="373" t="s">
        <v>28</v>
      </c>
      <c r="B25" s="352" t="s">
        <v>29</v>
      </c>
      <c r="C25" s="406">
        <v>30000</v>
      </c>
      <c r="D25" s="369">
        <v>14500</v>
      </c>
      <c r="E25" s="406">
        <f t="shared" si="2"/>
        <v>35900</v>
      </c>
      <c r="F25" s="369">
        <v>50400</v>
      </c>
      <c r="G25" s="408">
        <f>param_ecc*ACTNG_PLATILLA_ITEMS*12</f>
        <v>50400</v>
      </c>
      <c r="H25" s="402"/>
    </row>
    <row r="26" spans="1:11" ht="15" customHeight="1" x14ac:dyDescent="0.25">
      <c r="A26" s="403" t="s">
        <v>30</v>
      </c>
      <c r="B26" s="365"/>
      <c r="C26" s="404"/>
      <c r="D26" s="366"/>
      <c r="E26" s="406"/>
      <c r="F26" s="366"/>
      <c r="G26" s="405"/>
      <c r="H26" s="402"/>
    </row>
    <row r="27" spans="1:11" ht="15" customHeight="1" x14ac:dyDescent="0.25">
      <c r="A27" s="373" t="s">
        <v>30</v>
      </c>
      <c r="B27" s="352" t="s">
        <v>33</v>
      </c>
      <c r="C27" s="406"/>
      <c r="D27" s="369"/>
      <c r="E27" s="369"/>
      <c r="F27" s="369"/>
      <c r="G27" s="408"/>
      <c r="H27" s="519">
        <f>SUM(G27:G34)</f>
        <v>1445652.1</v>
      </c>
    </row>
    <row r="28" spans="1:11" ht="15" customHeight="1" x14ac:dyDescent="0.25">
      <c r="A28" s="434" t="s">
        <v>332</v>
      </c>
      <c r="B28" s="352"/>
      <c r="C28" s="406">
        <v>815025</v>
      </c>
      <c r="D28" s="369">
        <v>835576</v>
      </c>
      <c r="E28" s="406">
        <f t="shared" ref="E28:E30" si="3">F28-D28</f>
        <v>122629.60000000009</v>
      </c>
      <c r="F28" s="369">
        <v>958205.60000000009</v>
      </c>
      <c r="G28" s="408">
        <f>H12/12+I28</f>
        <v>1160652.1000000001</v>
      </c>
      <c r="H28" s="402"/>
      <c r="I28" s="49">
        <f>I14/4</f>
        <v>168000</v>
      </c>
    </row>
    <row r="29" spans="1:11" ht="15" customHeight="1" x14ac:dyDescent="0.25">
      <c r="A29" s="434" t="s">
        <v>333</v>
      </c>
      <c r="B29" s="352"/>
      <c r="C29" s="406">
        <v>125000</v>
      </c>
      <c r="D29" s="369"/>
      <c r="E29" s="406">
        <f t="shared" si="3"/>
        <v>140000</v>
      </c>
      <c r="F29" s="369">
        <v>140000</v>
      </c>
      <c r="G29" s="408">
        <f>param_pei*ACTNG_PLATILLA_ITEMS</f>
        <v>140000</v>
      </c>
      <c r="H29" s="402"/>
    </row>
    <row r="30" spans="1:11" ht="30" customHeight="1" x14ac:dyDescent="0.25">
      <c r="A30" s="434" t="s">
        <v>649</v>
      </c>
      <c r="B30" s="352"/>
      <c r="C30" s="406"/>
      <c r="D30" s="369"/>
      <c r="E30" s="406">
        <f t="shared" si="3"/>
        <v>140000</v>
      </c>
      <c r="F30" s="369">
        <v>140000</v>
      </c>
      <c r="G30" s="408">
        <f>param_pbb*ACTNG_PLATILLA_ITEMS</f>
        <v>140000</v>
      </c>
      <c r="H30" s="402"/>
    </row>
    <row r="31" spans="1:11" ht="15" customHeight="1" x14ac:dyDescent="0.25">
      <c r="A31" s="441" t="s">
        <v>334</v>
      </c>
      <c r="B31" s="442"/>
      <c r="C31" s="443"/>
      <c r="D31" s="444"/>
      <c r="E31" s="406"/>
      <c r="F31" s="444">
        <v>5000</v>
      </c>
      <c r="G31" s="387">
        <v>5000</v>
      </c>
      <c r="H31" s="519"/>
    </row>
    <row r="32" spans="1:11" ht="15" customHeight="1" x14ac:dyDescent="0.25">
      <c r="A32" s="376" t="s">
        <v>650</v>
      </c>
      <c r="B32" s="352"/>
      <c r="C32" s="369">
        <v>625000</v>
      </c>
      <c r="D32" s="369"/>
      <c r="E32" s="369"/>
      <c r="F32" s="369"/>
      <c r="G32" s="369"/>
      <c r="H32" s="375"/>
    </row>
    <row r="33" spans="1:9" ht="15" customHeight="1" x14ac:dyDescent="0.25">
      <c r="A33" s="376" t="s">
        <v>652</v>
      </c>
      <c r="B33" s="352"/>
      <c r="C33" s="369"/>
      <c r="D33" s="369"/>
      <c r="E33" s="369"/>
      <c r="F33" s="369"/>
      <c r="G33" s="369"/>
      <c r="H33" s="375"/>
    </row>
    <row r="34" spans="1:9" ht="15" customHeight="1" x14ac:dyDescent="0.25">
      <c r="A34" s="378" t="s">
        <v>653</v>
      </c>
      <c r="B34" s="379"/>
      <c r="C34" s="380">
        <v>250000</v>
      </c>
      <c r="D34" s="380"/>
      <c r="E34" s="381"/>
      <c r="F34" s="380"/>
      <c r="G34" s="380"/>
      <c r="H34" s="375"/>
    </row>
    <row r="35" spans="1:9" ht="15" customHeight="1" x14ac:dyDescent="0.25">
      <c r="A35" s="396" t="s">
        <v>34</v>
      </c>
      <c r="B35" s="397"/>
      <c r="C35" s="398">
        <f>SUM(C11:C34)</f>
        <v>14892444.399999999</v>
      </c>
      <c r="D35" s="398">
        <f>SUM(D11:D34)</f>
        <v>7117174.5799999991</v>
      </c>
      <c r="E35" s="398">
        <f t="shared" ref="E35:F35" si="4">SUM(E11:E34)</f>
        <v>9509319.8839999996</v>
      </c>
      <c r="F35" s="398">
        <f t="shared" si="4"/>
        <v>16631494.464</v>
      </c>
      <c r="G35" s="398">
        <f>SUM(G11:G34)</f>
        <v>17779048.424000002</v>
      </c>
      <c r="H35" s="16"/>
    </row>
    <row r="36" spans="1:9" ht="15" customHeight="1" x14ac:dyDescent="0.25">
      <c r="A36" s="429" t="s">
        <v>35</v>
      </c>
      <c r="B36" s="362"/>
      <c r="C36" s="430"/>
      <c r="D36" s="363"/>
      <c r="E36" s="430"/>
      <c r="F36" s="363"/>
      <c r="G36" s="431"/>
      <c r="H36" s="371"/>
    </row>
    <row r="37" spans="1:9" ht="15" customHeight="1" x14ac:dyDescent="0.25">
      <c r="A37" s="403" t="s">
        <v>55</v>
      </c>
      <c r="B37" s="365"/>
      <c r="C37" s="404"/>
      <c r="D37" s="366"/>
      <c r="E37" s="404"/>
      <c r="F37" s="366"/>
      <c r="G37" s="405"/>
      <c r="H37" s="16"/>
    </row>
    <row r="38" spans="1:9" ht="15" customHeight="1" x14ac:dyDescent="0.25">
      <c r="A38" s="373" t="s">
        <v>56</v>
      </c>
      <c r="B38" s="352" t="s">
        <v>57</v>
      </c>
      <c r="C38" s="406">
        <v>3960</v>
      </c>
      <c r="D38" s="369">
        <v>1410</v>
      </c>
      <c r="E38" s="406">
        <f>F38-D38</f>
        <v>17340</v>
      </c>
      <c r="F38" s="369">
        <v>18750</v>
      </c>
      <c r="G38" s="408">
        <v>5000</v>
      </c>
      <c r="H38" s="16"/>
    </row>
    <row r="39" spans="1:9" ht="15" customHeight="1" x14ac:dyDescent="0.25">
      <c r="A39" s="403" t="s">
        <v>58</v>
      </c>
      <c r="B39" s="365"/>
      <c r="C39" s="404"/>
      <c r="D39" s="366"/>
      <c r="E39" s="404"/>
      <c r="F39" s="366"/>
      <c r="G39" s="405"/>
      <c r="H39" s="16"/>
    </row>
    <row r="40" spans="1:9" ht="15" customHeight="1" x14ac:dyDescent="0.25">
      <c r="A40" s="373" t="s">
        <v>61</v>
      </c>
      <c r="B40" s="352" t="s">
        <v>62</v>
      </c>
      <c r="C40" s="406">
        <v>24000</v>
      </c>
      <c r="D40" s="369">
        <v>18000</v>
      </c>
      <c r="E40" s="406">
        <f t="shared" ref="E40:E41" si="5">F40-D40</f>
        <v>18000</v>
      </c>
      <c r="F40" s="369">
        <v>36000</v>
      </c>
      <c r="G40" s="408">
        <v>36000</v>
      </c>
      <c r="H40" s="16"/>
    </row>
    <row r="41" spans="1:9" ht="15" customHeight="1" x14ac:dyDescent="0.25">
      <c r="A41" s="373" t="s">
        <v>63</v>
      </c>
      <c r="B41" s="352" t="s">
        <v>64</v>
      </c>
      <c r="C41" s="406">
        <v>28296.09</v>
      </c>
      <c r="D41" s="369">
        <v>11392.91</v>
      </c>
      <c r="E41" s="406">
        <f t="shared" si="5"/>
        <v>26107.09</v>
      </c>
      <c r="F41" s="369">
        <v>37500</v>
      </c>
      <c r="G41" s="408">
        <v>32000</v>
      </c>
      <c r="H41" s="16"/>
    </row>
    <row r="42" spans="1:9" ht="15" customHeight="1" x14ac:dyDescent="0.25">
      <c r="A42" s="403" t="s">
        <v>79</v>
      </c>
      <c r="B42" s="365"/>
      <c r="C42" s="404"/>
      <c r="D42" s="366"/>
      <c r="E42" s="404"/>
      <c r="F42" s="366"/>
      <c r="G42" s="405"/>
      <c r="H42" s="16"/>
    </row>
    <row r="43" spans="1:9" ht="15" customHeight="1" x14ac:dyDescent="0.25">
      <c r="A43" s="373" t="s">
        <v>80</v>
      </c>
      <c r="B43" s="352" t="s">
        <v>81</v>
      </c>
      <c r="C43" s="406">
        <v>499607.03999999998</v>
      </c>
      <c r="D43" s="369">
        <v>264950</v>
      </c>
      <c r="E43" s="406">
        <f>F43-D43</f>
        <v>335050</v>
      </c>
      <c r="F43" s="369">
        <v>600000</v>
      </c>
      <c r="G43" s="408">
        <v>600000</v>
      </c>
      <c r="H43" s="523">
        <v>600000</v>
      </c>
    </row>
    <row r="44" spans="1:9" ht="15" customHeight="1" x14ac:dyDescent="0.25">
      <c r="A44" s="403" t="s">
        <v>42</v>
      </c>
      <c r="B44" s="365"/>
      <c r="C44" s="404"/>
      <c r="D44" s="366"/>
      <c r="E44" s="404"/>
      <c r="F44" s="366"/>
      <c r="G44" s="405"/>
      <c r="H44" s="16"/>
    </row>
    <row r="45" spans="1:9" ht="15" customHeight="1" x14ac:dyDescent="0.25">
      <c r="A45" s="373" t="s">
        <v>42</v>
      </c>
      <c r="B45" s="352" t="s">
        <v>176</v>
      </c>
      <c r="C45" s="406">
        <v>13688.1</v>
      </c>
      <c r="D45" s="369">
        <v>7445</v>
      </c>
      <c r="E45" s="406">
        <f>F45-D45</f>
        <v>42555</v>
      </c>
      <c r="F45" s="369">
        <v>50000</v>
      </c>
      <c r="G45" s="369">
        <v>9800</v>
      </c>
      <c r="H45" s="16"/>
    </row>
    <row r="46" spans="1:9" s="44" customFormat="1" ht="30" customHeight="1" x14ac:dyDescent="0.25">
      <c r="A46" s="396" t="s">
        <v>86</v>
      </c>
      <c r="B46" s="397"/>
      <c r="C46" s="398">
        <f>SUM(C38:C45)</f>
        <v>569551.23</v>
      </c>
      <c r="D46" s="398">
        <f>SUM(D38:D45)</f>
        <v>303197.90999999997</v>
      </c>
      <c r="E46" s="398">
        <f>SUM(E38:E45)</f>
        <v>439052.08999999997</v>
      </c>
      <c r="F46" s="398">
        <f>SUM(F38:F45)</f>
        <v>742250</v>
      </c>
      <c r="G46" s="398">
        <f>SUM(G38:G45)</f>
        <v>682800</v>
      </c>
      <c r="H46" s="797">
        <v>682800</v>
      </c>
      <c r="I46" s="1048"/>
    </row>
    <row r="47" spans="1:9" ht="15" customHeight="1" x14ac:dyDescent="0.25">
      <c r="A47" s="429" t="s">
        <v>88</v>
      </c>
      <c r="B47" s="362"/>
      <c r="C47" s="430"/>
      <c r="D47" s="363"/>
      <c r="E47" s="430"/>
      <c r="F47" s="363"/>
      <c r="G47" s="431"/>
      <c r="H47" s="16"/>
    </row>
    <row r="48" spans="1:9" s="44" customFormat="1" ht="15" customHeight="1" x14ac:dyDescent="0.25">
      <c r="A48" s="396" t="s">
        <v>112</v>
      </c>
      <c r="B48" s="436"/>
      <c r="C48" s="398">
        <f>SUM(C47:C47)</f>
        <v>0</v>
      </c>
      <c r="D48" s="398">
        <f>SUM(D47:D47)</f>
        <v>0</v>
      </c>
      <c r="E48" s="398">
        <f>SUM(E47:E47)</f>
        <v>0</v>
      </c>
      <c r="F48" s="398">
        <f>SUM(F47:F47)</f>
        <v>0</v>
      </c>
      <c r="G48" s="398">
        <f>SUM(G47)</f>
        <v>0</v>
      </c>
      <c r="H48" s="401"/>
      <c r="I48" s="1048"/>
    </row>
    <row r="49" spans="1:9" s="53" customFormat="1" ht="15" customHeight="1" x14ac:dyDescent="0.25">
      <c r="A49" s="419" t="s">
        <v>113</v>
      </c>
      <c r="B49" s="437"/>
      <c r="C49" s="421">
        <f>C35+C46+C48</f>
        <v>15461995.629999999</v>
      </c>
      <c r="D49" s="421">
        <f>D35+D46+D48</f>
        <v>7420372.4899999993</v>
      </c>
      <c r="E49" s="421">
        <f>E35+E46+E48</f>
        <v>9948371.9739999995</v>
      </c>
      <c r="F49" s="421">
        <f>F35+F46+F48</f>
        <v>17373744.464000002</v>
      </c>
      <c r="G49" s="421">
        <f>G35+G46+G48</f>
        <v>18461848.424000002</v>
      </c>
      <c r="H49" s="521"/>
      <c r="I49" s="1049"/>
    </row>
    <row r="50" spans="1:9" ht="15" customHeight="1" x14ac:dyDescent="0.25">
      <c r="A50" s="16"/>
      <c r="B50" s="16"/>
      <c r="C50" s="16"/>
      <c r="D50" s="16"/>
      <c r="E50" s="16"/>
      <c r="F50" s="16"/>
      <c r="G50" s="16"/>
      <c r="H50" s="16"/>
    </row>
    <row r="51" spans="1:9" x14ac:dyDescent="0.25">
      <c r="A51" s="16"/>
      <c r="B51" s="16"/>
      <c r="C51" s="16"/>
      <c r="D51" s="16"/>
      <c r="E51" s="16"/>
      <c r="F51" s="16"/>
      <c r="G51" s="16"/>
      <c r="H51" s="16"/>
    </row>
    <row r="52" spans="1:9" x14ac:dyDescent="0.25">
      <c r="A52" s="16"/>
      <c r="B52" s="16"/>
      <c r="C52" s="16"/>
      <c r="D52" s="16"/>
      <c r="E52" s="16"/>
      <c r="F52" s="16"/>
      <c r="G52" s="16"/>
      <c r="H52" s="16"/>
    </row>
    <row r="53" spans="1:9" x14ac:dyDescent="0.25">
      <c r="A53" s="16"/>
      <c r="B53" s="16"/>
      <c r="C53" s="16"/>
      <c r="D53" s="16"/>
      <c r="E53" s="16"/>
      <c r="F53" s="16"/>
      <c r="G53" s="16"/>
      <c r="H53" s="16"/>
    </row>
    <row r="54" spans="1:9" x14ac:dyDescent="0.25">
      <c r="A54" s="16"/>
      <c r="B54" s="16"/>
      <c r="C54" s="16"/>
      <c r="D54" s="16"/>
      <c r="E54" s="16"/>
      <c r="F54" s="16"/>
      <c r="G54" s="16"/>
      <c r="H54" s="16"/>
    </row>
    <row r="55" spans="1:9" x14ac:dyDescent="0.25">
      <c r="A55" s="16"/>
      <c r="B55" s="16"/>
      <c r="C55" s="16"/>
      <c r="D55" s="16"/>
      <c r="E55" s="16"/>
      <c r="F55" s="16"/>
      <c r="G55" s="16"/>
      <c r="H55" s="16"/>
    </row>
    <row r="56" spans="1:9" x14ac:dyDescent="0.25">
      <c r="A56" s="16"/>
      <c r="B56" s="16"/>
      <c r="C56" s="16"/>
      <c r="D56" s="16"/>
      <c r="E56" s="16"/>
      <c r="F56" s="16"/>
      <c r="G56" s="16"/>
      <c r="H56" s="16"/>
    </row>
    <row r="57" spans="1:9" x14ac:dyDescent="0.25">
      <c r="A57" s="16"/>
      <c r="B57" s="16"/>
      <c r="C57" s="16"/>
      <c r="D57" s="16"/>
      <c r="E57" s="16"/>
      <c r="F57" s="16"/>
      <c r="G57" s="16"/>
      <c r="H57" s="16"/>
    </row>
    <row r="58" spans="1:9" x14ac:dyDescent="0.25">
      <c r="A58" s="16"/>
      <c r="B58" s="16"/>
      <c r="C58" s="16"/>
      <c r="D58" s="16"/>
      <c r="E58" s="16"/>
      <c r="F58" s="16"/>
      <c r="G58" s="16"/>
      <c r="H58" s="16"/>
    </row>
    <row r="59" spans="1:9" x14ac:dyDescent="0.25">
      <c r="A59" s="16"/>
      <c r="B59" s="16"/>
      <c r="C59" s="16"/>
      <c r="D59" s="16"/>
      <c r="E59" s="16"/>
      <c r="F59" s="16"/>
      <c r="G59" s="16"/>
      <c r="H59" s="16"/>
    </row>
    <row r="60" spans="1:9" x14ac:dyDescent="0.25">
      <c r="A60" s="16"/>
      <c r="B60" s="16"/>
      <c r="C60" s="16"/>
      <c r="D60" s="16"/>
      <c r="E60" s="16"/>
      <c r="F60" s="16"/>
      <c r="G60" s="16"/>
      <c r="H60" s="16"/>
    </row>
    <row r="61" spans="1:9" x14ac:dyDescent="0.25">
      <c r="A61" s="16"/>
      <c r="B61" s="16"/>
      <c r="C61" s="16"/>
      <c r="D61" s="16"/>
      <c r="E61" s="16"/>
      <c r="F61" s="16"/>
      <c r="G61" s="16"/>
      <c r="H61" s="16"/>
    </row>
    <row r="62" spans="1:9" x14ac:dyDescent="0.25">
      <c r="A62" s="16"/>
      <c r="B62" s="16"/>
      <c r="C62" s="16"/>
      <c r="D62" s="16"/>
      <c r="E62" s="16"/>
      <c r="F62" s="16"/>
      <c r="G62" s="16"/>
      <c r="H62" s="16"/>
    </row>
    <row r="63" spans="1:9" x14ac:dyDescent="0.25">
      <c r="A63" s="16"/>
      <c r="B63" s="16"/>
      <c r="C63" s="16"/>
      <c r="D63" s="16"/>
      <c r="E63" s="16"/>
      <c r="F63" s="16"/>
      <c r="G63" s="16"/>
      <c r="H63" s="16"/>
    </row>
    <row r="64" spans="1:9"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ht="38.25" customHeight="1"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353"/>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3" fitToHeight="0" orientation="portrait" horizontalDpi="360" verticalDpi="360" r:id="rId1"/>
  <headerFooter scaleWithDoc="0">
    <oddFooter>&amp;C&amp;"Candara,Regular"&amp;10Page &amp;"Candara,Bold"&amp;P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fitToPage="1"/>
  </sheetPr>
  <dimension ref="A1:J90"/>
  <sheetViews>
    <sheetView view="pageBreakPreview" topLeftCell="A4" zoomScale="85" zoomScaleNormal="100" zoomScaleSheetLayoutView="85" workbookViewId="0">
      <pane xSplit="2" ySplit="5" topLeftCell="C36"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22.42578125" style="41" customWidth="1"/>
    <col min="9" max="9" width="14.7109375" style="49" bestFit="1"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149</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50"/>
    </row>
    <row r="7" spans="1:9" s="43" customFormat="1" ht="12" x14ac:dyDescent="0.2">
      <c r="A7" s="1099"/>
      <c r="B7" s="1099"/>
      <c r="C7" s="1099"/>
      <c r="D7" s="1100"/>
      <c r="E7" s="1100"/>
      <c r="F7" s="1100"/>
      <c r="G7" s="1099"/>
      <c r="H7" s="358"/>
      <c r="I7" s="1050"/>
    </row>
    <row r="8" spans="1:9" s="43" customFormat="1" ht="24" x14ac:dyDescent="0.2">
      <c r="A8" s="1099"/>
      <c r="B8" s="1099"/>
      <c r="C8" s="1099"/>
      <c r="D8" s="359" t="s">
        <v>308</v>
      </c>
      <c r="E8" s="359" t="s">
        <v>309</v>
      </c>
      <c r="F8" s="359" t="s">
        <v>3</v>
      </c>
      <c r="G8" s="1099"/>
      <c r="H8" s="358"/>
      <c r="I8" s="1050"/>
    </row>
    <row r="9" spans="1:9" s="70" customFormat="1" ht="11.25" x14ac:dyDescent="0.25">
      <c r="A9" s="360">
        <v>1</v>
      </c>
      <c r="B9" s="360">
        <v>2</v>
      </c>
      <c r="C9" s="360">
        <v>3</v>
      </c>
      <c r="D9" s="360">
        <v>4</v>
      </c>
      <c r="E9" s="360">
        <v>5</v>
      </c>
      <c r="F9" s="360">
        <v>6</v>
      </c>
      <c r="G9" s="360">
        <v>7</v>
      </c>
      <c r="H9" s="423" t="s">
        <v>497</v>
      </c>
      <c r="I9" s="1051"/>
    </row>
    <row r="10" spans="1:9" ht="15" customHeight="1" x14ac:dyDescent="0.25">
      <c r="A10" s="429" t="s">
        <v>4</v>
      </c>
      <c r="B10" s="362"/>
      <c r="C10" s="430"/>
      <c r="D10" s="363"/>
      <c r="E10" s="430"/>
      <c r="F10" s="581"/>
      <c r="G10" s="431"/>
      <c r="H10" s="582">
        <v>36</v>
      </c>
      <c r="I10" s="402"/>
    </row>
    <row r="11" spans="1:9" ht="15" customHeight="1" x14ac:dyDescent="0.25">
      <c r="A11" s="403" t="s">
        <v>5</v>
      </c>
      <c r="B11" s="365"/>
      <c r="C11" s="404"/>
      <c r="D11" s="366"/>
      <c r="E11" s="404"/>
      <c r="F11" s="391"/>
      <c r="G11" s="405"/>
      <c r="H11" s="16"/>
      <c r="I11" s="402"/>
    </row>
    <row r="12" spans="1:9" ht="15" customHeight="1" x14ac:dyDescent="0.25">
      <c r="A12" s="373" t="str">
        <f>"Salaries and Wages - Regular (" &amp; H10 &amp; ")"</f>
        <v>Salaries and Wages - Regular (36)</v>
      </c>
      <c r="B12" s="352" t="s">
        <v>6</v>
      </c>
      <c r="C12" s="406">
        <v>8541976.7200000007</v>
      </c>
      <c r="D12" s="369">
        <v>4158407.97</v>
      </c>
      <c r="E12" s="406">
        <f>F12-D12</f>
        <v>9800314.8300000001</v>
      </c>
      <c r="F12" s="369">
        <v>13958722.800000001</v>
      </c>
      <c r="G12" s="408">
        <f>H12+I12</f>
        <v>14811657.600000005</v>
      </c>
      <c r="H12" s="438">
        <v>14379657.600000005</v>
      </c>
      <c r="I12" s="402">
        <f>I14/2</f>
        <v>432000</v>
      </c>
    </row>
    <row r="13" spans="1:9" ht="15" customHeight="1" x14ac:dyDescent="0.25">
      <c r="A13" s="403" t="s">
        <v>7</v>
      </c>
      <c r="B13" s="365"/>
      <c r="C13" s="404"/>
      <c r="D13" s="366"/>
      <c r="E13" s="404"/>
      <c r="F13" s="391"/>
      <c r="G13" s="405"/>
      <c r="H13" s="16"/>
      <c r="I13" s="402"/>
    </row>
    <row r="14" spans="1:9" ht="15" customHeight="1" x14ac:dyDescent="0.25">
      <c r="A14" s="373" t="s">
        <v>8</v>
      </c>
      <c r="B14" s="352" t="s">
        <v>9</v>
      </c>
      <c r="C14" s="406">
        <v>617909.1</v>
      </c>
      <c r="D14" s="369">
        <v>312000</v>
      </c>
      <c r="E14" s="406">
        <f>F14-D14</f>
        <v>552000</v>
      </c>
      <c r="F14" s="369">
        <v>864000</v>
      </c>
      <c r="G14" s="408">
        <f>param_pera*CTO_PLATILLA_ITEMS*12</f>
        <v>864000</v>
      </c>
      <c r="H14" s="402"/>
      <c r="I14" s="402">
        <v>864000</v>
      </c>
    </row>
    <row r="15" spans="1:9" ht="15" customHeight="1" x14ac:dyDescent="0.25">
      <c r="A15" s="373" t="s">
        <v>11</v>
      </c>
      <c r="B15" s="352" t="s">
        <v>12</v>
      </c>
      <c r="C15" s="406">
        <v>81000</v>
      </c>
      <c r="D15" s="369">
        <v>40500</v>
      </c>
      <c r="E15" s="406">
        <f t="shared" ref="E15:E17" si="0">F15-D15</f>
        <v>94500</v>
      </c>
      <c r="F15" s="369">
        <v>135000</v>
      </c>
      <c r="G15" s="408">
        <f>H15*12</f>
        <v>135000</v>
      </c>
      <c r="H15" s="402">
        <v>11250</v>
      </c>
      <c r="I15" s="440"/>
    </row>
    <row r="16" spans="1:9" ht="15" customHeight="1" x14ac:dyDescent="0.25">
      <c r="A16" s="373" t="s">
        <v>13</v>
      </c>
      <c r="B16" s="352" t="s">
        <v>14</v>
      </c>
      <c r="C16" s="406">
        <v>81000</v>
      </c>
      <c r="D16" s="369">
        <v>40500</v>
      </c>
      <c r="E16" s="406">
        <f t="shared" si="0"/>
        <v>94500</v>
      </c>
      <c r="F16" s="369">
        <v>135000</v>
      </c>
      <c r="G16" s="408">
        <f>H16*12</f>
        <v>135000</v>
      </c>
      <c r="H16" s="402">
        <v>11250</v>
      </c>
      <c r="I16" s="440"/>
    </row>
    <row r="17" spans="1:10" ht="15" customHeight="1" x14ac:dyDescent="0.25">
      <c r="A17" s="373" t="s">
        <v>15</v>
      </c>
      <c r="B17" s="352" t="s">
        <v>16</v>
      </c>
      <c r="C17" s="406">
        <v>150000</v>
      </c>
      <c r="D17" s="369">
        <v>156000</v>
      </c>
      <c r="E17" s="406">
        <f t="shared" si="0"/>
        <v>60000</v>
      </c>
      <c r="F17" s="369">
        <v>216000</v>
      </c>
      <c r="G17" s="408">
        <f>param_uniform*CTO_PLATILLA_ITEMS</f>
        <v>216000</v>
      </c>
      <c r="H17" s="402"/>
      <c r="I17" s="402"/>
    </row>
    <row r="18" spans="1:10" ht="15" customHeight="1" x14ac:dyDescent="0.25">
      <c r="A18" s="373" t="s">
        <v>126</v>
      </c>
      <c r="B18" s="352" t="s">
        <v>125</v>
      </c>
      <c r="C18" s="406"/>
      <c r="D18" s="369"/>
      <c r="E18" s="406"/>
      <c r="F18" s="369"/>
      <c r="G18" s="408"/>
      <c r="H18" s="402"/>
      <c r="I18" s="402"/>
    </row>
    <row r="19" spans="1:10" ht="15" customHeight="1" x14ac:dyDescent="0.25">
      <c r="A19" s="434" t="s">
        <v>912</v>
      </c>
      <c r="B19" s="583"/>
      <c r="C19" s="406"/>
      <c r="D19" s="369">
        <v>286300.18</v>
      </c>
      <c r="E19" s="406">
        <f t="shared" ref="E19:E21" si="1">F19-D19</f>
        <v>713699.82000000007</v>
      </c>
      <c r="F19" s="369">
        <v>1000000</v>
      </c>
      <c r="G19" s="408">
        <v>1000000</v>
      </c>
      <c r="H19" s="402"/>
      <c r="I19" s="402"/>
    </row>
    <row r="20" spans="1:10" ht="15" customHeight="1" x14ac:dyDescent="0.25">
      <c r="A20" s="373" t="s">
        <v>17</v>
      </c>
      <c r="B20" s="352" t="s">
        <v>18</v>
      </c>
      <c r="C20" s="406">
        <v>731787.6</v>
      </c>
      <c r="D20" s="369"/>
      <c r="E20" s="406">
        <f t="shared" si="1"/>
        <v>1163226.9000000001</v>
      </c>
      <c r="F20" s="369">
        <v>1163226.9000000001</v>
      </c>
      <c r="G20" s="408">
        <f>H12/12+I20</f>
        <v>1414304.8000000005</v>
      </c>
      <c r="H20" s="402"/>
      <c r="I20" s="402">
        <f>I14/4</f>
        <v>216000</v>
      </c>
      <c r="J20" s="41" t="s">
        <v>610</v>
      </c>
    </row>
    <row r="21" spans="1:10" ht="15" customHeight="1" x14ac:dyDescent="0.25">
      <c r="A21" s="373" t="s">
        <v>19</v>
      </c>
      <c r="B21" s="352" t="s">
        <v>20</v>
      </c>
      <c r="C21" s="406">
        <v>128000</v>
      </c>
      <c r="D21" s="369"/>
      <c r="E21" s="406">
        <f t="shared" si="1"/>
        <v>180000</v>
      </c>
      <c r="F21" s="369">
        <v>180000</v>
      </c>
      <c r="G21" s="408">
        <f>param_cash_gift*CTO_PLATILLA_ITEMS</f>
        <v>180000</v>
      </c>
      <c r="H21" s="402"/>
      <c r="I21" s="402"/>
    </row>
    <row r="22" spans="1:10" ht="15" customHeight="1" x14ac:dyDescent="0.25">
      <c r="A22" s="403" t="s">
        <v>21</v>
      </c>
      <c r="B22" s="365"/>
      <c r="C22" s="404"/>
      <c r="D22" s="366"/>
      <c r="E22" s="406"/>
      <c r="F22" s="391"/>
      <c r="G22" s="405"/>
      <c r="H22" s="402"/>
      <c r="I22" s="402"/>
    </row>
    <row r="23" spans="1:10" ht="15" customHeight="1" x14ac:dyDescent="0.25">
      <c r="A23" s="373" t="s">
        <v>22</v>
      </c>
      <c r="B23" s="352" t="s">
        <v>23</v>
      </c>
      <c r="C23" s="406">
        <v>1024888.39</v>
      </c>
      <c r="D23" s="369">
        <v>498615.12</v>
      </c>
      <c r="E23" s="406">
        <f t="shared" ref="E23:E26" si="2">F23-D23</f>
        <v>1176431.6159999999</v>
      </c>
      <c r="F23" s="369">
        <v>1675046.736</v>
      </c>
      <c r="G23" s="408">
        <f>H12*12%</f>
        <v>1725558.9120000005</v>
      </c>
      <c r="H23" s="402"/>
      <c r="I23" s="402"/>
    </row>
    <row r="24" spans="1:10" ht="15" customHeight="1" x14ac:dyDescent="0.25">
      <c r="A24" s="373" t="s">
        <v>24</v>
      </c>
      <c r="B24" s="352" t="s">
        <v>25</v>
      </c>
      <c r="C24" s="406">
        <v>30800</v>
      </c>
      <c r="D24" s="369">
        <v>15600</v>
      </c>
      <c r="E24" s="406">
        <f t="shared" si="2"/>
        <v>49200</v>
      </c>
      <c r="F24" s="369">
        <v>64800</v>
      </c>
      <c r="G24" s="408">
        <f>param_pagibig*CTO_PLATILLA_ITEMS*12</f>
        <v>64800</v>
      </c>
      <c r="H24" s="402"/>
      <c r="I24" s="402"/>
    </row>
    <row r="25" spans="1:10" ht="15" customHeight="1" x14ac:dyDescent="0.25">
      <c r="A25" s="373" t="s">
        <v>26</v>
      </c>
      <c r="B25" s="352" t="s">
        <v>27</v>
      </c>
      <c r="C25" s="406">
        <v>120989.3</v>
      </c>
      <c r="D25" s="369">
        <v>81547.259999999995</v>
      </c>
      <c r="E25" s="406">
        <f t="shared" si="2"/>
        <v>221452.74</v>
      </c>
      <c r="F25" s="369">
        <v>303000</v>
      </c>
      <c r="G25" s="408">
        <f>ROUND(H25+(H25*0.1), -1)</f>
        <v>311130</v>
      </c>
      <c r="H25" s="402">
        <v>282845.97600000002</v>
      </c>
      <c r="I25" s="402"/>
    </row>
    <row r="26" spans="1:10" ht="15" customHeight="1" x14ac:dyDescent="0.25">
      <c r="A26" s="373" t="s">
        <v>28</v>
      </c>
      <c r="B26" s="352" t="s">
        <v>29</v>
      </c>
      <c r="C26" s="406">
        <v>30900</v>
      </c>
      <c r="D26" s="369">
        <v>15600</v>
      </c>
      <c r="E26" s="406">
        <f t="shared" si="2"/>
        <v>49200</v>
      </c>
      <c r="F26" s="369">
        <v>64800</v>
      </c>
      <c r="G26" s="408">
        <f>param_ecc*CTO_PLATILLA_ITEMS*12</f>
        <v>64800</v>
      </c>
      <c r="H26" s="402"/>
      <c r="I26" s="402"/>
    </row>
    <row r="27" spans="1:10" ht="15" customHeight="1" x14ac:dyDescent="0.25">
      <c r="A27" s="403" t="s">
        <v>30</v>
      </c>
      <c r="B27" s="365"/>
      <c r="C27" s="404"/>
      <c r="D27" s="366"/>
      <c r="E27" s="406"/>
      <c r="F27" s="391"/>
      <c r="G27" s="405"/>
      <c r="H27" s="402"/>
      <c r="I27" s="402"/>
    </row>
    <row r="28" spans="1:10" ht="15" customHeight="1" x14ac:dyDescent="0.25">
      <c r="A28" s="373" t="s">
        <v>30</v>
      </c>
      <c r="B28" s="352" t="s">
        <v>33</v>
      </c>
      <c r="C28" s="406"/>
      <c r="D28" s="369"/>
      <c r="E28" s="369"/>
      <c r="F28" s="369"/>
      <c r="G28" s="408"/>
      <c r="H28" s="519">
        <f>SUM(G28:G35)</f>
        <v>1789304.8000000005</v>
      </c>
      <c r="I28" s="402"/>
    </row>
    <row r="29" spans="1:10" ht="15" customHeight="1" x14ac:dyDescent="0.25">
      <c r="A29" s="434" t="s">
        <v>332</v>
      </c>
      <c r="B29" s="352"/>
      <c r="C29" s="406">
        <v>721825</v>
      </c>
      <c r="D29" s="369">
        <v>693270</v>
      </c>
      <c r="E29" s="406">
        <f t="shared" ref="E29:E32" si="3">F29-D29</f>
        <v>469956.90000000014</v>
      </c>
      <c r="F29" s="369">
        <v>1163226.9000000001</v>
      </c>
      <c r="G29" s="408">
        <f>H12/12+I29</f>
        <v>1414304.8000000005</v>
      </c>
      <c r="H29" s="402"/>
      <c r="I29" s="402">
        <f>I14/4</f>
        <v>216000</v>
      </c>
    </row>
    <row r="30" spans="1:10" ht="15" customHeight="1" x14ac:dyDescent="0.25">
      <c r="A30" s="434" t="s">
        <v>333</v>
      </c>
      <c r="B30" s="352"/>
      <c r="C30" s="406">
        <v>125000</v>
      </c>
      <c r="D30" s="369"/>
      <c r="E30" s="406">
        <f t="shared" si="3"/>
        <v>180000</v>
      </c>
      <c r="F30" s="369">
        <v>180000</v>
      </c>
      <c r="G30" s="408">
        <f>param_pei*CTO_PLATILLA_ITEMS</f>
        <v>180000</v>
      </c>
      <c r="H30" s="402"/>
      <c r="I30" s="402"/>
    </row>
    <row r="31" spans="1:10" ht="30" customHeight="1" x14ac:dyDescent="0.25">
      <c r="A31" s="434" t="s">
        <v>649</v>
      </c>
      <c r="B31" s="352"/>
      <c r="C31" s="406"/>
      <c r="D31" s="369"/>
      <c r="E31" s="406">
        <f t="shared" si="3"/>
        <v>180000</v>
      </c>
      <c r="F31" s="369">
        <v>180000</v>
      </c>
      <c r="G31" s="408">
        <f>param_pbb*CTO_PLATILLA_ITEMS</f>
        <v>180000</v>
      </c>
      <c r="H31" s="402"/>
      <c r="I31" s="402"/>
    </row>
    <row r="32" spans="1:10" ht="15" customHeight="1" x14ac:dyDescent="0.25">
      <c r="A32" s="441" t="s">
        <v>334</v>
      </c>
      <c r="B32" s="442"/>
      <c r="C32" s="443">
        <v>45000</v>
      </c>
      <c r="D32" s="444"/>
      <c r="E32" s="406">
        <f t="shared" si="3"/>
        <v>15000</v>
      </c>
      <c r="F32" s="444">
        <v>15000</v>
      </c>
      <c r="G32" s="387">
        <v>15000</v>
      </c>
      <c r="H32" s="519"/>
      <c r="I32" s="402"/>
    </row>
    <row r="33" spans="1:9" ht="15" customHeight="1" x14ac:dyDescent="0.25">
      <c r="A33" s="376" t="s">
        <v>650</v>
      </c>
      <c r="B33" s="352"/>
      <c r="C33" s="369">
        <v>675000</v>
      </c>
      <c r="D33" s="369"/>
      <c r="E33" s="369"/>
      <c r="F33" s="369"/>
      <c r="G33" s="369"/>
      <c r="H33" s="375"/>
      <c r="I33" s="402"/>
    </row>
    <row r="34" spans="1:9" ht="15" customHeight="1" x14ac:dyDescent="0.25">
      <c r="A34" s="376" t="s">
        <v>652</v>
      </c>
      <c r="B34" s="352"/>
      <c r="C34" s="369"/>
      <c r="D34" s="369"/>
      <c r="E34" s="369"/>
      <c r="F34" s="369"/>
      <c r="G34" s="369"/>
      <c r="H34" s="375"/>
      <c r="I34" s="402"/>
    </row>
    <row r="35" spans="1:9" ht="15" customHeight="1" x14ac:dyDescent="0.25">
      <c r="A35" s="378" t="s">
        <v>653</v>
      </c>
      <c r="B35" s="379"/>
      <c r="C35" s="380">
        <v>246000</v>
      </c>
      <c r="D35" s="380"/>
      <c r="E35" s="381"/>
      <c r="F35" s="380"/>
      <c r="G35" s="380"/>
      <c r="H35" s="375"/>
      <c r="I35" s="402"/>
    </row>
    <row r="36" spans="1:9" ht="15" customHeight="1" x14ac:dyDescent="0.25">
      <c r="A36" s="396" t="s">
        <v>34</v>
      </c>
      <c r="B36" s="397"/>
      <c r="C36" s="398">
        <f>SUM(C11:C35)</f>
        <v>13352076.110000001</v>
      </c>
      <c r="D36" s="398">
        <f t="shared" ref="D36:F36" si="4">SUM(D11:D35)</f>
        <v>6298340.5300000003</v>
      </c>
      <c r="E36" s="398">
        <f t="shared" si="4"/>
        <v>14999482.806000002</v>
      </c>
      <c r="F36" s="398">
        <f t="shared" si="4"/>
        <v>21297823.335999999</v>
      </c>
      <c r="G36" s="398">
        <f>SUM(G11:G35)</f>
        <v>22711556.112000007</v>
      </c>
      <c r="H36" s="16"/>
      <c r="I36" s="402"/>
    </row>
    <row r="37" spans="1:9" ht="15" customHeight="1" x14ac:dyDescent="0.25">
      <c r="A37" s="429" t="s">
        <v>35</v>
      </c>
      <c r="B37" s="362"/>
      <c r="C37" s="430"/>
      <c r="D37" s="363"/>
      <c r="E37" s="430"/>
      <c r="F37" s="581"/>
      <c r="G37" s="431"/>
      <c r="H37" s="16"/>
      <c r="I37" s="402"/>
    </row>
    <row r="38" spans="1:9" ht="15" customHeight="1" x14ac:dyDescent="0.25">
      <c r="A38" s="403" t="s">
        <v>50</v>
      </c>
      <c r="B38" s="365"/>
      <c r="C38" s="404"/>
      <c r="D38" s="366"/>
      <c r="E38" s="404"/>
      <c r="F38" s="391"/>
      <c r="G38" s="405"/>
      <c r="H38" s="16"/>
      <c r="I38" s="402"/>
    </row>
    <row r="39" spans="1:9" ht="15" customHeight="1" x14ac:dyDescent="0.25">
      <c r="A39" s="373" t="s">
        <v>148</v>
      </c>
      <c r="B39" s="352" t="s">
        <v>147</v>
      </c>
      <c r="C39" s="406">
        <v>721160</v>
      </c>
      <c r="D39" s="369">
        <v>194738.5</v>
      </c>
      <c r="E39" s="406">
        <f t="shared" ref="E39" si="5">F39-D39</f>
        <v>805261.5</v>
      </c>
      <c r="F39" s="369">
        <v>1000000</v>
      </c>
      <c r="G39" s="408">
        <v>1000000</v>
      </c>
      <c r="H39" s="16"/>
      <c r="I39" s="402"/>
    </row>
    <row r="40" spans="1:9" ht="15" customHeight="1" x14ac:dyDescent="0.25">
      <c r="A40" s="403" t="s">
        <v>55</v>
      </c>
      <c r="B40" s="365"/>
      <c r="C40" s="404"/>
      <c r="D40" s="366"/>
      <c r="E40" s="404"/>
      <c r="F40" s="391"/>
      <c r="G40" s="405"/>
      <c r="H40" s="16"/>
      <c r="I40" s="402"/>
    </row>
    <row r="41" spans="1:9" ht="15" customHeight="1" x14ac:dyDescent="0.25">
      <c r="A41" s="373" t="s">
        <v>56</v>
      </c>
      <c r="B41" s="352" t="s">
        <v>57</v>
      </c>
      <c r="C41" s="406">
        <v>5640</v>
      </c>
      <c r="D41" s="369"/>
      <c r="E41" s="406">
        <f t="shared" ref="E41" si="6">F41-D41</f>
        <v>10000</v>
      </c>
      <c r="F41" s="369">
        <v>10000</v>
      </c>
      <c r="G41" s="408">
        <v>10000</v>
      </c>
      <c r="H41" s="16"/>
      <c r="I41" s="402"/>
    </row>
    <row r="42" spans="1:9" ht="15" customHeight="1" x14ac:dyDescent="0.25">
      <c r="A42" s="403" t="s">
        <v>58</v>
      </c>
      <c r="B42" s="365"/>
      <c r="C42" s="404"/>
      <c r="D42" s="366"/>
      <c r="E42" s="404"/>
      <c r="F42" s="391"/>
      <c r="G42" s="405"/>
      <c r="H42" s="16"/>
      <c r="I42" s="402"/>
    </row>
    <row r="43" spans="1:9" ht="15" customHeight="1" x14ac:dyDescent="0.25">
      <c r="A43" s="373" t="s">
        <v>61</v>
      </c>
      <c r="B43" s="352" t="s">
        <v>62</v>
      </c>
      <c r="C43" s="406">
        <v>24000</v>
      </c>
      <c r="D43" s="369">
        <v>18000</v>
      </c>
      <c r="E43" s="406">
        <f t="shared" ref="E43:E44" si="7">F43-D43</f>
        <v>18000</v>
      </c>
      <c r="F43" s="369">
        <v>36000</v>
      </c>
      <c r="G43" s="408">
        <v>36000</v>
      </c>
      <c r="H43" s="16"/>
      <c r="I43" s="402"/>
    </row>
    <row r="44" spans="1:9" ht="15" customHeight="1" x14ac:dyDescent="0.25">
      <c r="A44" s="373" t="s">
        <v>63</v>
      </c>
      <c r="B44" s="352" t="s">
        <v>64</v>
      </c>
      <c r="C44" s="406">
        <v>30767</v>
      </c>
      <c r="D44" s="369">
        <v>15000</v>
      </c>
      <c r="E44" s="406">
        <f t="shared" si="7"/>
        <v>45000</v>
      </c>
      <c r="F44" s="369">
        <v>60000</v>
      </c>
      <c r="G44" s="408">
        <v>30000</v>
      </c>
      <c r="H44" s="16"/>
      <c r="I44" s="402"/>
    </row>
    <row r="45" spans="1:9" ht="15" customHeight="1" x14ac:dyDescent="0.25">
      <c r="A45" s="403" t="s">
        <v>79</v>
      </c>
      <c r="B45" s="365"/>
      <c r="C45" s="404"/>
      <c r="D45" s="366"/>
      <c r="E45" s="404"/>
      <c r="F45" s="391"/>
      <c r="G45" s="405"/>
      <c r="H45" s="16"/>
      <c r="I45" s="402"/>
    </row>
    <row r="46" spans="1:9" ht="15" customHeight="1" x14ac:dyDescent="0.25">
      <c r="A46" s="373" t="s">
        <v>80</v>
      </c>
      <c r="B46" s="352" t="s">
        <v>81</v>
      </c>
      <c r="C46" s="406">
        <v>1282580</v>
      </c>
      <c r="D46" s="369">
        <v>700134.79</v>
      </c>
      <c r="E46" s="406">
        <f t="shared" ref="E46" si="8">F46-D46</f>
        <v>799865.21</v>
      </c>
      <c r="F46" s="369">
        <v>1500000</v>
      </c>
      <c r="G46" s="408">
        <v>1519480</v>
      </c>
      <c r="H46" s="16"/>
      <c r="I46" s="402"/>
    </row>
    <row r="47" spans="1:9" ht="15" customHeight="1" x14ac:dyDescent="0.25">
      <c r="A47" s="403" t="s">
        <v>351</v>
      </c>
      <c r="B47" s="365"/>
      <c r="C47" s="404"/>
      <c r="D47" s="366"/>
      <c r="E47" s="404"/>
      <c r="F47" s="391"/>
      <c r="G47" s="405"/>
      <c r="H47" s="16"/>
      <c r="I47" s="402"/>
    </row>
    <row r="48" spans="1:9" ht="15" customHeight="1" x14ac:dyDescent="0.25">
      <c r="A48" s="373" t="s">
        <v>142</v>
      </c>
      <c r="B48" s="352" t="s">
        <v>180</v>
      </c>
      <c r="C48" s="406"/>
      <c r="D48" s="369">
        <v>15120</v>
      </c>
      <c r="E48" s="406">
        <f>F48-D48</f>
        <v>984880</v>
      </c>
      <c r="F48" s="369">
        <v>1000000</v>
      </c>
      <c r="G48" s="408">
        <v>800000</v>
      </c>
      <c r="H48" s="16"/>
      <c r="I48" s="402"/>
    </row>
    <row r="49" spans="1:9" ht="15" customHeight="1" x14ac:dyDescent="0.25">
      <c r="A49" s="472" t="s">
        <v>141</v>
      </c>
      <c r="B49" s="442" t="s">
        <v>181</v>
      </c>
      <c r="C49" s="443">
        <v>406992</v>
      </c>
      <c r="D49" s="444">
        <v>138607.5</v>
      </c>
      <c r="E49" s="443">
        <f t="shared" ref="E49" si="9">F49-D49</f>
        <v>661392.5</v>
      </c>
      <c r="F49" s="444">
        <v>800000</v>
      </c>
      <c r="G49" s="387">
        <v>1100000</v>
      </c>
      <c r="H49" s="16" t="s">
        <v>971</v>
      </c>
      <c r="I49" s="402"/>
    </row>
    <row r="50" spans="1:9" ht="15" customHeight="1" x14ac:dyDescent="0.25">
      <c r="A50" s="403" t="s">
        <v>42</v>
      </c>
      <c r="B50" s="365"/>
      <c r="C50" s="404"/>
      <c r="D50" s="366"/>
      <c r="E50" s="404"/>
      <c r="F50" s="391"/>
      <c r="G50" s="405"/>
      <c r="H50" s="16"/>
      <c r="I50" s="402">
        <f>+I39-E38</f>
        <v>0</v>
      </c>
    </row>
    <row r="51" spans="1:9" ht="15" customHeight="1" x14ac:dyDescent="0.25">
      <c r="A51" s="373" t="s">
        <v>37</v>
      </c>
      <c r="B51" s="352" t="s">
        <v>184</v>
      </c>
      <c r="C51" s="406"/>
      <c r="D51" s="369"/>
      <c r="E51" s="369"/>
      <c r="F51" s="369">
        <v>300000</v>
      </c>
      <c r="G51" s="408"/>
      <c r="H51" s="16"/>
      <c r="I51" s="402"/>
    </row>
    <row r="52" spans="1:9" ht="25.5" x14ac:dyDescent="0.25">
      <c r="A52" s="373" t="s">
        <v>42</v>
      </c>
      <c r="B52" s="433" t="s">
        <v>176</v>
      </c>
      <c r="C52" s="406">
        <v>39762</v>
      </c>
      <c r="D52" s="369">
        <v>5998.18</v>
      </c>
      <c r="E52" s="406">
        <f t="shared" ref="E52" si="10">F52-D52</f>
        <v>44001.82</v>
      </c>
      <c r="F52" s="369">
        <v>50000</v>
      </c>
      <c r="G52" s="369">
        <v>20000</v>
      </c>
      <c r="H52" s="16"/>
      <c r="I52" s="402"/>
    </row>
    <row r="53" spans="1:9" ht="15" customHeight="1" x14ac:dyDescent="0.25">
      <c r="A53" s="434" t="s">
        <v>399</v>
      </c>
      <c r="B53" s="352"/>
      <c r="C53" s="406"/>
      <c r="D53" s="369">
        <v>106120</v>
      </c>
      <c r="E53" s="406">
        <f>F53-D53</f>
        <v>693880</v>
      </c>
      <c r="F53" s="369">
        <v>800000</v>
      </c>
      <c r="G53" s="408"/>
      <c r="H53" s="16"/>
      <c r="I53" s="402"/>
    </row>
    <row r="54" spans="1:9" ht="30" customHeight="1" x14ac:dyDescent="0.25">
      <c r="A54" s="396" t="s">
        <v>86</v>
      </c>
      <c r="B54" s="397"/>
      <c r="C54" s="398">
        <f>SUM(C39:C53)</f>
        <v>2510901</v>
      </c>
      <c r="D54" s="398">
        <f>SUM(D39:D53)</f>
        <v>1193718.97</v>
      </c>
      <c r="E54" s="398">
        <f>SUM(E39:E53)</f>
        <v>4062281.03</v>
      </c>
      <c r="F54" s="398">
        <f>SUM(F39:F53)</f>
        <v>5556000</v>
      </c>
      <c r="G54" s="398">
        <f>SUM(G39:G53)</f>
        <v>4515480</v>
      </c>
      <c r="H54" s="828">
        <v>3076480</v>
      </c>
      <c r="I54" s="402"/>
    </row>
    <row r="55" spans="1:9" ht="15" customHeight="1" x14ac:dyDescent="0.25">
      <c r="A55" s="429" t="s">
        <v>87</v>
      </c>
      <c r="B55" s="362"/>
      <c r="C55" s="430"/>
      <c r="D55" s="363"/>
      <c r="E55" s="430"/>
      <c r="F55" s="581"/>
      <c r="G55" s="431"/>
      <c r="H55" s="16"/>
      <c r="I55" s="402">
        <f>SUM(D54:E54)</f>
        <v>5256000</v>
      </c>
    </row>
    <row r="56" spans="1:9" ht="15" customHeight="1" x14ac:dyDescent="0.25">
      <c r="A56" s="403" t="s">
        <v>87</v>
      </c>
      <c r="B56" s="365"/>
      <c r="C56" s="404"/>
      <c r="D56" s="366"/>
      <c r="E56" s="404"/>
      <c r="F56" s="391"/>
      <c r="G56" s="405"/>
      <c r="H56" s="16"/>
      <c r="I56" s="402"/>
    </row>
    <row r="57" spans="1:9" ht="15" customHeight="1" x14ac:dyDescent="0.25">
      <c r="A57" s="472" t="s">
        <v>146</v>
      </c>
      <c r="B57" s="442" t="s">
        <v>183</v>
      </c>
      <c r="C57" s="443">
        <v>22400</v>
      </c>
      <c r="D57" s="444">
        <v>40280</v>
      </c>
      <c r="E57" s="443">
        <f t="shared" ref="E57" si="11">F57-D57</f>
        <v>59720</v>
      </c>
      <c r="F57" s="444">
        <v>100000</v>
      </c>
      <c r="G57" s="387">
        <v>80000</v>
      </c>
      <c r="H57" s="16"/>
      <c r="I57" s="402"/>
    </row>
    <row r="58" spans="1:9" ht="15" customHeight="1" x14ac:dyDescent="0.25">
      <c r="A58" s="396" t="s">
        <v>185</v>
      </c>
      <c r="B58" s="436"/>
      <c r="C58" s="398">
        <f>SUM(C57:C57)</f>
        <v>22400</v>
      </c>
      <c r="D58" s="398">
        <f>SUM(D57:D57)</f>
        <v>40280</v>
      </c>
      <c r="E58" s="398">
        <f>SUM(E57:E57)</f>
        <v>59720</v>
      </c>
      <c r="F58" s="398">
        <f>SUM(F57:F57)</f>
        <v>100000</v>
      </c>
      <c r="G58" s="398">
        <f>SUM(G57)</f>
        <v>80000</v>
      </c>
      <c r="H58" s="519">
        <v>100000</v>
      </c>
      <c r="I58" s="402"/>
    </row>
    <row r="59" spans="1:9" ht="15" customHeight="1" x14ac:dyDescent="0.25">
      <c r="A59" s="429" t="s">
        <v>88</v>
      </c>
      <c r="B59" s="362"/>
      <c r="C59" s="430"/>
      <c r="D59" s="363"/>
      <c r="E59" s="430"/>
      <c r="F59" s="581"/>
      <c r="G59" s="431"/>
      <c r="H59" s="16"/>
      <c r="I59" s="402"/>
    </row>
    <row r="60" spans="1:9" ht="15" customHeight="1" x14ac:dyDescent="0.25">
      <c r="A60" s="396" t="s">
        <v>112</v>
      </c>
      <c r="B60" s="436"/>
      <c r="C60" s="398">
        <f>SUM(C59:C59)</f>
        <v>0</v>
      </c>
      <c r="D60" s="398">
        <f>SUM(D59:D59)</f>
        <v>0</v>
      </c>
      <c r="E60" s="398">
        <f>SUM(E59:E59)</f>
        <v>0</v>
      </c>
      <c r="F60" s="398">
        <f>SUM(F59:F59)</f>
        <v>0</v>
      </c>
      <c r="G60" s="398">
        <f>SUM(G59)</f>
        <v>0</v>
      </c>
      <c r="H60" s="16"/>
      <c r="I60" s="402"/>
    </row>
    <row r="61" spans="1:9" ht="15" customHeight="1" x14ac:dyDescent="0.25">
      <c r="A61" s="419" t="s">
        <v>113</v>
      </c>
      <c r="B61" s="437"/>
      <c r="C61" s="500">
        <f>C36+C54+C58+C60</f>
        <v>15885377.110000001</v>
      </c>
      <c r="D61" s="500">
        <f>D36+D54+D58+D60</f>
        <v>7532339.5</v>
      </c>
      <c r="E61" s="500">
        <f>E36+E54+E58+E60</f>
        <v>19121483.836000003</v>
      </c>
      <c r="F61" s="500">
        <f>F36+F54+F58+F60</f>
        <v>26953823.335999999</v>
      </c>
      <c r="G61" s="500">
        <f>G36+G54+G58+G60</f>
        <v>27307036.112000007</v>
      </c>
      <c r="H61" s="16"/>
      <c r="I61" s="402"/>
    </row>
    <row r="62" spans="1:9" x14ac:dyDescent="0.25">
      <c r="A62" s="16"/>
      <c r="B62" s="16"/>
      <c r="C62" s="16"/>
      <c r="D62" s="16"/>
      <c r="E62" s="16"/>
      <c r="F62" s="16"/>
      <c r="G62" s="16"/>
      <c r="H62" s="16"/>
      <c r="I62" s="402"/>
    </row>
    <row r="63" spans="1:9" x14ac:dyDescent="0.25">
      <c r="A63" s="16"/>
      <c r="B63" s="16"/>
      <c r="C63" s="16"/>
      <c r="D63" s="16"/>
      <c r="E63" s="16"/>
      <c r="F63" s="16"/>
      <c r="G63" s="16"/>
      <c r="H63" s="16"/>
      <c r="I63" s="402"/>
    </row>
    <row r="64" spans="1:9" x14ac:dyDescent="0.25">
      <c r="A64" s="16"/>
      <c r="B64" s="16"/>
      <c r="C64" s="16"/>
      <c r="D64" s="16"/>
      <c r="E64" s="16"/>
      <c r="F64" s="16"/>
      <c r="G64" s="16"/>
      <c r="H64" s="16"/>
      <c r="I64" s="402"/>
    </row>
    <row r="65" spans="1:9" x14ac:dyDescent="0.25">
      <c r="A65" s="16"/>
      <c r="B65" s="16"/>
      <c r="C65" s="16"/>
      <c r="D65" s="16"/>
      <c r="E65" s="16"/>
      <c r="F65" s="16"/>
      <c r="G65" s="16"/>
      <c r="H65" s="16"/>
      <c r="I65" s="402"/>
    </row>
    <row r="66" spans="1:9" x14ac:dyDescent="0.25">
      <c r="A66" s="16"/>
      <c r="B66" s="16"/>
      <c r="C66" s="16"/>
      <c r="D66" s="16"/>
      <c r="E66" s="16"/>
      <c r="F66" s="16"/>
      <c r="G66" s="16"/>
      <c r="H66" s="16"/>
      <c r="I66" s="402"/>
    </row>
    <row r="67" spans="1:9" x14ac:dyDescent="0.25">
      <c r="A67" s="16"/>
      <c r="B67" s="16"/>
      <c r="C67" s="16"/>
      <c r="D67" s="16"/>
      <c r="E67" s="16"/>
      <c r="F67" s="16"/>
      <c r="G67" s="16"/>
      <c r="H67" s="16"/>
      <c r="I67" s="402"/>
    </row>
    <row r="68" spans="1:9" x14ac:dyDescent="0.25">
      <c r="A68" s="16"/>
      <c r="B68" s="16"/>
      <c r="C68" s="16"/>
      <c r="D68" s="16"/>
      <c r="E68" s="16"/>
      <c r="F68" s="16"/>
      <c r="G68" s="16"/>
      <c r="H68" s="16"/>
      <c r="I68" s="402"/>
    </row>
    <row r="69" spans="1:9" x14ac:dyDescent="0.25">
      <c r="A69" s="16"/>
      <c r="B69" s="16"/>
      <c r="C69" s="16"/>
      <c r="D69" s="16"/>
      <c r="E69" s="16"/>
      <c r="F69" s="16"/>
      <c r="G69" s="16"/>
      <c r="H69" s="16"/>
      <c r="I69" s="402"/>
    </row>
    <row r="70" spans="1:9" x14ac:dyDescent="0.25">
      <c r="A70" s="16"/>
      <c r="B70" s="16"/>
      <c r="C70" s="16"/>
      <c r="D70" s="16"/>
      <c r="E70" s="16"/>
      <c r="F70" s="16"/>
      <c r="G70" s="16"/>
      <c r="H70" s="16"/>
      <c r="I70" s="402"/>
    </row>
    <row r="71" spans="1:9" x14ac:dyDescent="0.25">
      <c r="A71" s="16"/>
      <c r="B71" s="16"/>
      <c r="C71" s="16"/>
      <c r="D71" s="16"/>
      <c r="E71" s="16"/>
      <c r="F71" s="16"/>
      <c r="G71" s="16"/>
      <c r="H71" s="16"/>
      <c r="I71" s="402"/>
    </row>
    <row r="72" spans="1:9" x14ac:dyDescent="0.25">
      <c r="A72" s="16"/>
      <c r="B72" s="16"/>
      <c r="C72" s="16"/>
      <c r="D72" s="16"/>
      <c r="E72" s="16"/>
      <c r="F72" s="16"/>
      <c r="G72" s="16"/>
      <c r="H72" s="16"/>
      <c r="I72" s="402"/>
    </row>
    <row r="73" spans="1:9" x14ac:dyDescent="0.25">
      <c r="A73" s="16"/>
      <c r="B73" s="16"/>
      <c r="C73" s="16"/>
      <c r="D73" s="16"/>
      <c r="E73" s="16"/>
      <c r="F73" s="16"/>
      <c r="G73" s="16"/>
      <c r="H73" s="16"/>
      <c r="I73" s="402"/>
    </row>
    <row r="74" spans="1:9" x14ac:dyDescent="0.25">
      <c r="A74" s="16"/>
      <c r="B74" s="16"/>
      <c r="C74" s="16"/>
      <c r="D74" s="16"/>
      <c r="E74" s="16"/>
      <c r="F74" s="16"/>
      <c r="G74" s="16"/>
      <c r="H74" s="16"/>
      <c r="I74" s="402"/>
    </row>
    <row r="75" spans="1:9" x14ac:dyDescent="0.25">
      <c r="A75" s="16"/>
      <c r="B75" s="16"/>
      <c r="C75" s="16"/>
      <c r="D75" s="16"/>
      <c r="E75" s="16"/>
      <c r="F75" s="16"/>
      <c r="G75" s="16"/>
      <c r="H75" s="16"/>
      <c r="I75" s="402"/>
    </row>
    <row r="76" spans="1:9" x14ac:dyDescent="0.25">
      <c r="A76" s="16"/>
      <c r="B76" s="16"/>
      <c r="C76" s="16"/>
      <c r="D76" s="16"/>
      <c r="E76" s="16"/>
      <c r="F76" s="16"/>
      <c r="G76" s="16"/>
      <c r="H76" s="16"/>
      <c r="I76" s="402"/>
    </row>
    <row r="77" spans="1:9" x14ac:dyDescent="0.25">
      <c r="A77" s="16"/>
      <c r="B77" s="16"/>
      <c r="C77" s="16"/>
      <c r="D77" s="16"/>
      <c r="E77" s="16"/>
      <c r="F77" s="16"/>
      <c r="G77" s="16"/>
      <c r="H77" s="16"/>
      <c r="I77" s="402"/>
    </row>
    <row r="78" spans="1:9" x14ac:dyDescent="0.25">
      <c r="A78" s="16"/>
      <c r="B78" s="16"/>
      <c r="C78" s="16"/>
      <c r="D78" s="16"/>
      <c r="E78" s="16"/>
      <c r="F78" s="16"/>
      <c r="G78" s="16"/>
      <c r="H78" s="16"/>
      <c r="I78" s="402"/>
    </row>
    <row r="79" spans="1:9" ht="38.25" customHeight="1" x14ac:dyDescent="0.25">
      <c r="A79" s="16"/>
      <c r="B79" s="16"/>
      <c r="C79" s="16"/>
      <c r="D79" s="16"/>
      <c r="E79" s="16"/>
      <c r="F79" s="16"/>
      <c r="G79" s="16"/>
      <c r="H79" s="16"/>
      <c r="I79" s="402"/>
    </row>
    <row r="80" spans="1:9" x14ac:dyDescent="0.25">
      <c r="A80" s="16"/>
      <c r="B80" s="16"/>
      <c r="C80" s="16"/>
      <c r="D80" s="16"/>
      <c r="E80" s="16"/>
      <c r="F80" s="16"/>
      <c r="G80" s="16"/>
      <c r="H80" s="16"/>
      <c r="I80" s="402"/>
    </row>
    <row r="81" spans="1:9" x14ac:dyDescent="0.25">
      <c r="A81" s="16"/>
      <c r="B81" s="16"/>
      <c r="C81" s="16"/>
      <c r="D81" s="16"/>
      <c r="E81" s="16"/>
      <c r="F81" s="16"/>
      <c r="G81" s="16"/>
      <c r="H81" s="16"/>
      <c r="I81" s="402"/>
    </row>
    <row r="82" spans="1:9" x14ac:dyDescent="0.25">
      <c r="A82" s="16"/>
      <c r="B82" s="16"/>
      <c r="C82" s="16"/>
      <c r="D82" s="16"/>
      <c r="E82" s="16"/>
      <c r="F82" s="16"/>
      <c r="G82" s="16"/>
      <c r="H82" s="16"/>
      <c r="I82" s="402"/>
    </row>
    <row r="83" spans="1:9" x14ac:dyDescent="0.25">
      <c r="A83" s="16"/>
      <c r="B83" s="16"/>
      <c r="C83" s="16"/>
      <c r="D83" s="16"/>
      <c r="E83" s="16"/>
      <c r="F83" s="16"/>
      <c r="G83" s="16"/>
      <c r="H83" s="16"/>
      <c r="I83" s="402"/>
    </row>
    <row r="84" spans="1:9" x14ac:dyDescent="0.25">
      <c r="A84" s="16"/>
      <c r="B84" s="16"/>
      <c r="C84" s="16"/>
      <c r="D84" s="16"/>
      <c r="E84" s="16"/>
      <c r="F84" s="16"/>
      <c r="G84" s="16"/>
      <c r="H84" s="16"/>
      <c r="I84" s="402"/>
    </row>
    <row r="85" spans="1:9" x14ac:dyDescent="0.25">
      <c r="A85" s="16"/>
      <c r="B85" s="16"/>
      <c r="C85" s="16"/>
      <c r="D85" s="16"/>
      <c r="E85" s="16"/>
      <c r="F85" s="16"/>
      <c r="G85" s="16"/>
      <c r="H85" s="16"/>
      <c r="I85" s="402"/>
    </row>
    <row r="86" spans="1:9" x14ac:dyDescent="0.25">
      <c r="A86" s="16"/>
      <c r="B86" s="16"/>
      <c r="C86" s="16"/>
      <c r="D86" s="16"/>
      <c r="E86" s="16"/>
      <c r="F86" s="16"/>
      <c r="G86" s="16"/>
      <c r="H86" s="16"/>
      <c r="I86" s="402"/>
    </row>
    <row r="87" spans="1:9" x14ac:dyDescent="0.25">
      <c r="A87" s="16"/>
      <c r="B87" s="353"/>
      <c r="C87" s="16"/>
      <c r="D87" s="16"/>
      <c r="E87" s="16"/>
      <c r="F87" s="16"/>
      <c r="G87" s="16"/>
      <c r="H87" s="16"/>
      <c r="I87" s="402"/>
    </row>
    <row r="88" spans="1:9" x14ac:dyDescent="0.25">
      <c r="A88" s="16"/>
      <c r="B88" s="16"/>
      <c r="C88" s="16"/>
      <c r="D88" s="16"/>
      <c r="E88" s="16"/>
      <c r="F88" s="16"/>
      <c r="G88" s="16"/>
      <c r="H88" s="16"/>
      <c r="I88" s="402"/>
    </row>
    <row r="89" spans="1:9" x14ac:dyDescent="0.25">
      <c r="A89" s="16"/>
      <c r="B89" s="16"/>
      <c r="C89" s="16"/>
      <c r="D89" s="16"/>
      <c r="E89" s="16"/>
      <c r="F89" s="16"/>
      <c r="G89" s="16"/>
      <c r="H89" s="16"/>
      <c r="I89" s="402"/>
    </row>
    <row r="90" spans="1:9" x14ac:dyDescent="0.25">
      <c r="A90" s="16"/>
      <c r="B90" s="16"/>
      <c r="C90" s="16"/>
      <c r="D90" s="16"/>
      <c r="E90" s="16"/>
      <c r="F90" s="16"/>
      <c r="G90" s="16"/>
      <c r="H90" s="16"/>
      <c r="I90"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rowBreaks count="1" manualBreakCount="1">
    <brk id="58"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pageSetUpPr fitToPage="1"/>
  </sheetPr>
  <dimension ref="A1:L89"/>
  <sheetViews>
    <sheetView view="pageBreakPreview" topLeftCell="A6" zoomScale="130" zoomScaleNormal="100" zoomScaleSheetLayoutView="130" workbookViewId="0">
      <pane xSplit="1" ySplit="3" topLeftCell="B39" activePane="bottomRight" state="frozen"/>
      <selection activeCell="C40" sqref="C40"/>
      <selection pane="topRight" activeCell="C40" sqref="C40"/>
      <selection pane="bottomLeft" activeCell="C40" sqref="C40"/>
      <selection pane="bottomRight" activeCell="I47" sqref="I47"/>
    </sheetView>
  </sheetViews>
  <sheetFormatPr defaultColWidth="9.140625" defaultRowHeight="15" x14ac:dyDescent="0.25"/>
  <cols>
    <col min="1" max="1" width="37.7109375" style="41" customWidth="1"/>
    <col min="2" max="2" width="12.7109375" style="41" customWidth="1"/>
    <col min="3" max="7" width="14.7109375" style="41" customWidth="1"/>
    <col min="8" max="8" width="14" style="41" bestFit="1" customWidth="1"/>
    <col min="9" max="9" width="14" style="49" bestFit="1"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152</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50"/>
    </row>
    <row r="7" spans="1:9" s="43" customFormat="1" ht="12" x14ac:dyDescent="0.2">
      <c r="A7" s="1099"/>
      <c r="B7" s="1099"/>
      <c r="C7" s="1099"/>
      <c r="D7" s="1100"/>
      <c r="E7" s="1100"/>
      <c r="F7" s="1100"/>
      <c r="G7" s="1099"/>
      <c r="H7" s="358"/>
      <c r="I7" s="1050"/>
    </row>
    <row r="8" spans="1:9" s="43" customFormat="1" ht="24.75" thickBot="1" x14ac:dyDescent="0.25">
      <c r="A8" s="1099"/>
      <c r="B8" s="1099"/>
      <c r="C8" s="1099"/>
      <c r="D8" s="359" t="s">
        <v>308</v>
      </c>
      <c r="E8" s="359" t="s">
        <v>309</v>
      </c>
      <c r="F8" s="359" t="s">
        <v>3</v>
      </c>
      <c r="G8" s="1099"/>
      <c r="H8" s="358"/>
      <c r="I8" s="1050"/>
    </row>
    <row r="9" spans="1:9" s="70" customFormat="1" ht="12" thickBot="1" x14ac:dyDescent="0.3">
      <c r="A9" s="360">
        <v>1</v>
      </c>
      <c r="B9" s="360">
        <v>2</v>
      </c>
      <c r="C9" s="360">
        <v>3</v>
      </c>
      <c r="D9" s="360">
        <v>4</v>
      </c>
      <c r="E9" s="360">
        <v>5</v>
      </c>
      <c r="F9" s="360">
        <v>6</v>
      </c>
      <c r="G9" s="360">
        <v>7</v>
      </c>
      <c r="H9" s="423" t="s">
        <v>497</v>
      </c>
      <c r="I9" s="1055"/>
    </row>
    <row r="10" spans="1:9" ht="15" customHeight="1" x14ac:dyDescent="0.25">
      <c r="A10" s="429" t="s">
        <v>4</v>
      </c>
      <c r="B10" s="362"/>
      <c r="C10" s="430"/>
      <c r="D10" s="363"/>
      <c r="E10" s="430"/>
      <c r="F10" s="363"/>
      <c r="G10" s="431"/>
      <c r="H10" s="18">
        <v>21</v>
      </c>
      <c r="I10" s="402"/>
    </row>
    <row r="11" spans="1:9" ht="15" customHeight="1" x14ac:dyDescent="0.25">
      <c r="A11" s="403" t="s">
        <v>5</v>
      </c>
      <c r="B11" s="365"/>
      <c r="C11" s="404"/>
      <c r="D11" s="366"/>
      <c r="E11" s="404"/>
      <c r="F11" s="366"/>
      <c r="G11" s="405"/>
      <c r="H11" s="16"/>
      <c r="I11" s="402"/>
    </row>
    <row r="12" spans="1:9" ht="15" customHeight="1" x14ac:dyDescent="0.25">
      <c r="A12" s="373" t="str">
        <f>"Salaries and Wages - Regular (" &amp; H10 &amp; ")"</f>
        <v>Salaries and Wages - Regular (21)</v>
      </c>
      <c r="B12" s="352" t="s">
        <v>6</v>
      </c>
      <c r="C12" s="406">
        <v>5579065.6699999999</v>
      </c>
      <c r="D12" s="369">
        <v>2078553.25</v>
      </c>
      <c r="E12" s="406">
        <f>F12-D12</f>
        <v>7009765.5499999989</v>
      </c>
      <c r="F12" s="369">
        <v>9088318.7999999989</v>
      </c>
      <c r="G12" s="408">
        <f>H12+I12</f>
        <v>9569761.1999999993</v>
      </c>
      <c r="H12" s="438">
        <v>9317761.1999999993</v>
      </c>
      <c r="I12" s="402">
        <f>I14/2</f>
        <v>252000</v>
      </c>
    </row>
    <row r="13" spans="1:9" ht="15" customHeight="1" x14ac:dyDescent="0.25">
      <c r="A13" s="403" t="s">
        <v>7</v>
      </c>
      <c r="B13" s="365"/>
      <c r="C13" s="404"/>
      <c r="D13" s="366"/>
      <c r="E13" s="404"/>
      <c r="F13" s="366"/>
      <c r="G13" s="405"/>
      <c r="H13" s="16"/>
      <c r="I13" s="402"/>
    </row>
    <row r="14" spans="1:9" ht="15" customHeight="1" x14ac:dyDescent="0.25">
      <c r="A14" s="373" t="s">
        <v>8</v>
      </c>
      <c r="B14" s="352" t="s">
        <v>9</v>
      </c>
      <c r="C14" s="406">
        <v>330000</v>
      </c>
      <c r="D14" s="369">
        <v>154000</v>
      </c>
      <c r="E14" s="406">
        <f t="shared" ref="E14:E18" si="0">F14-D14</f>
        <v>350000</v>
      </c>
      <c r="F14" s="369">
        <v>504000</v>
      </c>
      <c r="G14" s="408">
        <f>param_pera*ASSESSOR_PLATILLA_ITEMS*12</f>
        <v>504000</v>
      </c>
      <c r="H14" s="402"/>
      <c r="I14" s="402">
        <v>504000</v>
      </c>
    </row>
    <row r="15" spans="1:9" ht="15" customHeight="1" x14ac:dyDescent="0.25">
      <c r="A15" s="373" t="s">
        <v>11</v>
      </c>
      <c r="B15" s="352" t="s">
        <v>12</v>
      </c>
      <c r="C15" s="406">
        <v>159750</v>
      </c>
      <c r="D15" s="369">
        <v>38250</v>
      </c>
      <c r="E15" s="406">
        <f t="shared" si="0"/>
        <v>96750</v>
      </c>
      <c r="F15" s="369">
        <v>135000</v>
      </c>
      <c r="G15" s="408">
        <f>H15*12</f>
        <v>216000</v>
      </c>
      <c r="H15" s="402">
        <f>11250+6750</f>
        <v>18000</v>
      </c>
      <c r="I15" s="440"/>
    </row>
    <row r="16" spans="1:9" ht="15" customHeight="1" x14ac:dyDescent="0.25">
      <c r="A16" s="373" t="s">
        <v>13</v>
      </c>
      <c r="B16" s="352" t="s">
        <v>14</v>
      </c>
      <c r="C16" s="406">
        <v>159750</v>
      </c>
      <c r="D16" s="369">
        <v>38250</v>
      </c>
      <c r="E16" s="406">
        <f t="shared" si="0"/>
        <v>96750</v>
      </c>
      <c r="F16" s="369">
        <v>135000</v>
      </c>
      <c r="G16" s="408">
        <f>H16*12</f>
        <v>216000</v>
      </c>
      <c r="H16" s="402">
        <f>11250+6750</f>
        <v>18000</v>
      </c>
      <c r="I16" s="440"/>
    </row>
    <row r="17" spans="1:12" ht="15" customHeight="1" x14ac:dyDescent="0.25">
      <c r="A17" s="373" t="s">
        <v>15</v>
      </c>
      <c r="B17" s="352" t="s">
        <v>16</v>
      </c>
      <c r="C17" s="406">
        <v>78000</v>
      </c>
      <c r="D17" s="369">
        <v>84000</v>
      </c>
      <c r="E17" s="406">
        <f t="shared" si="0"/>
        <v>42000</v>
      </c>
      <c r="F17" s="369">
        <v>126000</v>
      </c>
      <c r="G17" s="408">
        <f>param_uniform*ASSESSOR_PLATILLA_ITEMS</f>
        <v>126000</v>
      </c>
      <c r="H17" s="402"/>
      <c r="I17" s="402"/>
    </row>
    <row r="18" spans="1:12" ht="15" customHeight="1" x14ac:dyDescent="0.25">
      <c r="A18" s="373" t="s">
        <v>570</v>
      </c>
      <c r="B18" s="352" t="s">
        <v>175</v>
      </c>
      <c r="C18" s="406">
        <v>0</v>
      </c>
      <c r="D18" s="369"/>
      <c r="E18" s="406">
        <f t="shared" si="0"/>
        <v>2200</v>
      </c>
      <c r="F18" s="369">
        <v>2200</v>
      </c>
      <c r="G18" s="408"/>
      <c r="H18" s="402"/>
      <c r="I18" s="402"/>
    </row>
    <row r="19" spans="1:12" ht="15" customHeight="1" x14ac:dyDescent="0.25">
      <c r="A19" s="373" t="s">
        <v>126</v>
      </c>
      <c r="B19" s="352" t="s">
        <v>125</v>
      </c>
      <c r="C19" s="406"/>
      <c r="D19" s="369"/>
      <c r="E19" s="406"/>
      <c r="F19" s="369"/>
      <c r="G19" s="408"/>
      <c r="H19" s="402"/>
      <c r="I19" s="402"/>
    </row>
    <row r="20" spans="1:12" ht="15" customHeight="1" x14ac:dyDescent="0.25">
      <c r="A20" s="373" t="s">
        <v>17</v>
      </c>
      <c r="B20" s="352" t="s">
        <v>18</v>
      </c>
      <c r="C20" s="406">
        <v>446100</v>
      </c>
      <c r="D20" s="369"/>
      <c r="E20" s="406">
        <f t="shared" ref="E20:E21" si="1">F20-D20</f>
        <v>757359.89999999991</v>
      </c>
      <c r="F20" s="369">
        <v>757359.89999999991</v>
      </c>
      <c r="G20" s="408">
        <f>H12/12+I20</f>
        <v>902480.1</v>
      </c>
      <c r="H20" s="402"/>
      <c r="I20" s="402">
        <f>I14/4</f>
        <v>126000</v>
      </c>
      <c r="L20" s="41" t="s">
        <v>610</v>
      </c>
    </row>
    <row r="21" spans="1:12" ht="15" customHeight="1" x14ac:dyDescent="0.25">
      <c r="A21" s="373" t="s">
        <v>19</v>
      </c>
      <c r="B21" s="352" t="s">
        <v>20</v>
      </c>
      <c r="C21" s="406">
        <v>71000</v>
      </c>
      <c r="D21" s="369"/>
      <c r="E21" s="406">
        <f t="shared" si="1"/>
        <v>105000</v>
      </c>
      <c r="F21" s="369">
        <v>105000</v>
      </c>
      <c r="G21" s="408">
        <f>param_cash_gift*ASSESSOR_PLATILLA_ITEMS</f>
        <v>105000</v>
      </c>
      <c r="H21" s="402"/>
      <c r="I21" s="402"/>
    </row>
    <row r="22" spans="1:12" ht="15" customHeight="1" x14ac:dyDescent="0.25">
      <c r="A22" s="403" t="s">
        <v>21</v>
      </c>
      <c r="B22" s="365"/>
      <c r="C22" s="404"/>
      <c r="D22" s="366"/>
      <c r="E22" s="406"/>
      <c r="F22" s="366"/>
      <c r="G22" s="405"/>
      <c r="H22" s="402"/>
      <c r="I22" s="402"/>
    </row>
    <row r="23" spans="1:12" ht="15" customHeight="1" x14ac:dyDescent="0.25">
      <c r="A23" s="373" t="s">
        <v>22</v>
      </c>
      <c r="B23" s="352" t="s">
        <v>23</v>
      </c>
      <c r="C23" s="406">
        <v>669582.6</v>
      </c>
      <c r="D23" s="369">
        <v>249618.58</v>
      </c>
      <c r="E23" s="406">
        <f t="shared" ref="E23:E26" si="2">F23-D23</f>
        <v>840979.67599999986</v>
      </c>
      <c r="F23" s="369">
        <v>1090598.2559999998</v>
      </c>
      <c r="G23" s="408">
        <f>H12*12%</f>
        <v>1118131.3439999998</v>
      </c>
      <c r="H23" s="402"/>
      <c r="I23" s="402"/>
    </row>
    <row r="24" spans="1:12" ht="15" customHeight="1" x14ac:dyDescent="0.25">
      <c r="A24" s="373" t="s">
        <v>24</v>
      </c>
      <c r="B24" s="352" t="s">
        <v>25</v>
      </c>
      <c r="C24" s="406">
        <v>16500</v>
      </c>
      <c r="D24" s="369">
        <v>7700</v>
      </c>
      <c r="E24" s="406">
        <f t="shared" si="2"/>
        <v>30100</v>
      </c>
      <c r="F24" s="369">
        <v>37800</v>
      </c>
      <c r="G24" s="408">
        <f>param_pagibig*ASSESSOR_PLATILLA_ITEMS*12</f>
        <v>37800</v>
      </c>
      <c r="H24" s="402"/>
      <c r="I24" s="402"/>
    </row>
    <row r="25" spans="1:12" ht="15" customHeight="1" x14ac:dyDescent="0.25">
      <c r="A25" s="373" t="s">
        <v>26</v>
      </c>
      <c r="B25" s="352" t="s">
        <v>27</v>
      </c>
      <c r="C25" s="406">
        <v>76092.289999999994</v>
      </c>
      <c r="D25" s="369">
        <v>37161.17</v>
      </c>
      <c r="E25" s="406">
        <f t="shared" si="2"/>
        <v>197838.83000000002</v>
      </c>
      <c r="F25" s="369">
        <v>235000</v>
      </c>
      <c r="G25" s="408">
        <f>ROUND(H25+(H25*0.1), -1)</f>
        <v>199770</v>
      </c>
      <c r="H25" s="402">
        <v>181608.04799999998</v>
      </c>
      <c r="I25" s="402"/>
    </row>
    <row r="26" spans="1:12" ht="15" customHeight="1" x14ac:dyDescent="0.25">
      <c r="A26" s="373" t="s">
        <v>28</v>
      </c>
      <c r="B26" s="352" t="s">
        <v>29</v>
      </c>
      <c r="C26" s="406">
        <v>16500</v>
      </c>
      <c r="D26" s="369">
        <v>7800</v>
      </c>
      <c r="E26" s="406">
        <f t="shared" si="2"/>
        <v>30000</v>
      </c>
      <c r="F26" s="369">
        <v>37800</v>
      </c>
      <c r="G26" s="408">
        <f>param_ecc*ASSESSOR_PLATILLA_ITEMS*12</f>
        <v>37800</v>
      </c>
      <c r="H26" s="402"/>
      <c r="I26" s="402"/>
    </row>
    <row r="27" spans="1:12" ht="15" customHeight="1" x14ac:dyDescent="0.25">
      <c r="A27" s="403" t="s">
        <v>30</v>
      </c>
      <c r="B27" s="365"/>
      <c r="C27" s="404"/>
      <c r="D27" s="366"/>
      <c r="E27" s="406"/>
      <c r="F27" s="366"/>
      <c r="G27" s="405"/>
      <c r="H27" s="402"/>
      <c r="I27" s="402"/>
    </row>
    <row r="28" spans="1:12" ht="15" customHeight="1" x14ac:dyDescent="0.25">
      <c r="A28" s="373" t="s">
        <v>30</v>
      </c>
      <c r="B28" s="352" t="s">
        <v>33</v>
      </c>
      <c r="C28" s="406"/>
      <c r="D28" s="369"/>
      <c r="E28" s="369"/>
      <c r="F28" s="369"/>
      <c r="G28" s="408"/>
      <c r="H28" s="519">
        <f>SUM(G28:G35)</f>
        <v>1117480.1000000001</v>
      </c>
      <c r="I28" s="402"/>
    </row>
    <row r="29" spans="1:12" ht="15" customHeight="1" x14ac:dyDescent="0.25">
      <c r="A29" s="434" t="s">
        <v>332</v>
      </c>
      <c r="B29" s="352"/>
      <c r="C29" s="406">
        <v>492640.6</v>
      </c>
      <c r="D29" s="369">
        <v>326366</v>
      </c>
      <c r="E29" s="406">
        <f t="shared" ref="E29:E32" si="3">F29-D29</f>
        <v>430993.89999999991</v>
      </c>
      <c r="F29" s="369">
        <v>757359.89999999991</v>
      </c>
      <c r="G29" s="408">
        <f>H12/12+I29</f>
        <v>902480.1</v>
      </c>
      <c r="H29" s="402"/>
      <c r="I29" s="402">
        <f>I14/4</f>
        <v>126000</v>
      </c>
    </row>
    <row r="30" spans="1:12" ht="15" customHeight="1" x14ac:dyDescent="0.25">
      <c r="A30" s="434" t="s">
        <v>333</v>
      </c>
      <c r="B30" s="352"/>
      <c r="C30" s="406">
        <v>70000</v>
      </c>
      <c r="D30" s="369"/>
      <c r="E30" s="406">
        <f t="shared" si="3"/>
        <v>105000</v>
      </c>
      <c r="F30" s="369">
        <v>105000</v>
      </c>
      <c r="G30" s="408">
        <f>param_pei*ASSESSOR_PLATILLA_ITEMS</f>
        <v>105000</v>
      </c>
      <c r="H30" s="402"/>
      <c r="I30" s="402"/>
    </row>
    <row r="31" spans="1:12" ht="30" customHeight="1" x14ac:dyDescent="0.25">
      <c r="A31" s="434" t="s">
        <v>649</v>
      </c>
      <c r="B31" s="352"/>
      <c r="C31" s="406"/>
      <c r="D31" s="369"/>
      <c r="E31" s="406">
        <f t="shared" si="3"/>
        <v>105000</v>
      </c>
      <c r="F31" s="369">
        <v>105000</v>
      </c>
      <c r="G31" s="408">
        <f>param_pbb*ASSESSOR_PLATILLA_ITEMS</f>
        <v>105000</v>
      </c>
      <c r="H31" s="402"/>
      <c r="I31" s="402"/>
    </row>
    <row r="32" spans="1:12" ht="15" customHeight="1" x14ac:dyDescent="0.25">
      <c r="A32" s="441" t="s">
        <v>334</v>
      </c>
      <c r="B32" s="442"/>
      <c r="C32" s="443">
        <v>10000</v>
      </c>
      <c r="D32" s="444"/>
      <c r="E32" s="406">
        <f t="shared" si="3"/>
        <v>5000</v>
      </c>
      <c r="F32" s="444">
        <v>5000</v>
      </c>
      <c r="G32" s="387">
        <v>5000</v>
      </c>
      <c r="H32" s="519"/>
      <c r="I32" s="402"/>
    </row>
    <row r="33" spans="1:9" ht="15" customHeight="1" x14ac:dyDescent="0.25">
      <c r="A33" s="376" t="s">
        <v>650</v>
      </c>
      <c r="B33" s="352"/>
      <c r="C33" s="369">
        <v>375000</v>
      </c>
      <c r="D33" s="369"/>
      <c r="E33" s="369"/>
      <c r="F33" s="369"/>
      <c r="G33" s="369"/>
      <c r="H33" s="375"/>
      <c r="I33" s="402"/>
    </row>
    <row r="34" spans="1:9" ht="15" customHeight="1" x14ac:dyDescent="0.25">
      <c r="A34" s="376" t="s">
        <v>652</v>
      </c>
      <c r="B34" s="352"/>
      <c r="C34" s="369"/>
      <c r="D34" s="369"/>
      <c r="E34" s="369"/>
      <c r="F34" s="369"/>
      <c r="G34" s="369"/>
      <c r="H34" s="375"/>
      <c r="I34" s="402"/>
    </row>
    <row r="35" spans="1:9" ht="15" customHeight="1" x14ac:dyDescent="0.25">
      <c r="A35" s="378" t="s">
        <v>653</v>
      </c>
      <c r="B35" s="379"/>
      <c r="C35" s="380">
        <v>138000</v>
      </c>
      <c r="D35" s="380"/>
      <c r="E35" s="381"/>
      <c r="F35" s="380"/>
      <c r="G35" s="380"/>
      <c r="H35" s="375"/>
      <c r="I35" s="402"/>
    </row>
    <row r="36" spans="1:9" s="44" customFormat="1" ht="15" customHeight="1" x14ac:dyDescent="0.25">
      <c r="A36" s="396" t="s">
        <v>34</v>
      </c>
      <c r="B36" s="397"/>
      <c r="C36" s="398">
        <f>SUM(C11:C35)</f>
        <v>8687981.1600000001</v>
      </c>
      <c r="D36" s="398">
        <f t="shared" ref="D36:F36" si="4">SUM(D11:D35)</f>
        <v>3021699</v>
      </c>
      <c r="E36" s="398">
        <f t="shared" si="4"/>
        <v>10204737.855999999</v>
      </c>
      <c r="F36" s="398">
        <f t="shared" si="4"/>
        <v>13226436.855999999</v>
      </c>
      <c r="G36" s="398">
        <f>SUM(G11:G35)</f>
        <v>14150222.743999999</v>
      </c>
      <c r="H36" s="401"/>
      <c r="I36" s="400"/>
    </row>
    <row r="37" spans="1:9" ht="15" customHeight="1" x14ac:dyDescent="0.25">
      <c r="A37" s="429" t="s">
        <v>35</v>
      </c>
      <c r="B37" s="362"/>
      <c r="C37" s="430"/>
      <c r="D37" s="363"/>
      <c r="E37" s="430"/>
      <c r="F37" s="363"/>
      <c r="G37" s="431"/>
      <c r="H37" s="16"/>
      <c r="I37" s="402"/>
    </row>
    <row r="38" spans="1:9" ht="15" customHeight="1" x14ac:dyDescent="0.25">
      <c r="A38" s="403" t="s">
        <v>55</v>
      </c>
      <c r="B38" s="365"/>
      <c r="C38" s="404"/>
      <c r="D38" s="366"/>
      <c r="E38" s="404"/>
      <c r="F38" s="366"/>
      <c r="G38" s="405"/>
      <c r="H38" s="16"/>
      <c r="I38" s="402"/>
    </row>
    <row r="39" spans="1:9" ht="15" customHeight="1" x14ac:dyDescent="0.25">
      <c r="A39" s="373" t="s">
        <v>56</v>
      </c>
      <c r="B39" s="352" t="s">
        <v>57</v>
      </c>
      <c r="C39" s="406">
        <v>4800</v>
      </c>
      <c r="D39" s="369"/>
      <c r="E39" s="406">
        <f>F39-D39</f>
        <v>10000</v>
      </c>
      <c r="F39" s="369">
        <v>10000</v>
      </c>
      <c r="G39" s="408">
        <v>10000</v>
      </c>
      <c r="H39" s="16"/>
      <c r="I39" s="402"/>
    </row>
    <row r="40" spans="1:9" ht="15" customHeight="1" x14ac:dyDescent="0.25">
      <c r="A40" s="403" t="s">
        <v>58</v>
      </c>
      <c r="B40" s="365"/>
      <c r="C40" s="404"/>
      <c r="D40" s="366"/>
      <c r="E40" s="404"/>
      <c r="F40" s="366"/>
      <c r="G40" s="405"/>
      <c r="H40" s="16"/>
      <c r="I40" s="402"/>
    </row>
    <row r="41" spans="1:9" ht="15" customHeight="1" x14ac:dyDescent="0.25">
      <c r="A41" s="373" t="s">
        <v>61</v>
      </c>
      <c r="B41" s="352" t="s">
        <v>62</v>
      </c>
      <c r="C41" s="406">
        <v>24000</v>
      </c>
      <c r="D41" s="369">
        <v>15000</v>
      </c>
      <c r="E41" s="406">
        <f t="shared" ref="E41:E43" si="5">F41-D41</f>
        <v>21000</v>
      </c>
      <c r="F41" s="369">
        <v>36000</v>
      </c>
      <c r="G41" s="408">
        <v>36000</v>
      </c>
      <c r="H41" s="16"/>
      <c r="I41" s="402"/>
    </row>
    <row r="42" spans="1:9" ht="15" customHeight="1" x14ac:dyDescent="0.25">
      <c r="A42" s="373" t="s">
        <v>63</v>
      </c>
      <c r="B42" s="352" t="s">
        <v>64</v>
      </c>
      <c r="C42" s="406">
        <v>19800</v>
      </c>
      <c r="D42" s="369">
        <v>12500</v>
      </c>
      <c r="E42" s="406">
        <f t="shared" si="5"/>
        <v>17500</v>
      </c>
      <c r="F42" s="369">
        <v>30000</v>
      </c>
      <c r="G42" s="408">
        <v>36000</v>
      </c>
      <c r="H42" s="16"/>
      <c r="I42" s="402"/>
    </row>
    <row r="43" spans="1:9" ht="15" customHeight="1" x14ac:dyDescent="0.25">
      <c r="A43" s="434" t="s">
        <v>338</v>
      </c>
      <c r="B43" s="352"/>
      <c r="C43" s="406"/>
      <c r="D43" s="369">
        <v>75000</v>
      </c>
      <c r="E43" s="406">
        <f t="shared" si="5"/>
        <v>0</v>
      </c>
      <c r="F43" s="369">
        <v>75000</v>
      </c>
      <c r="G43" s="408">
        <v>75000</v>
      </c>
      <c r="H43" s="16"/>
      <c r="I43" s="402"/>
    </row>
    <row r="44" spans="1:9" ht="15" customHeight="1" x14ac:dyDescent="0.25">
      <c r="A44" s="403" t="s">
        <v>79</v>
      </c>
      <c r="B44" s="365"/>
      <c r="C44" s="404"/>
      <c r="D44" s="366"/>
      <c r="E44" s="404"/>
      <c r="F44" s="366"/>
      <c r="G44" s="405"/>
      <c r="H44" s="16"/>
      <c r="I44" s="402"/>
    </row>
    <row r="45" spans="1:9" ht="15" customHeight="1" x14ac:dyDescent="0.25">
      <c r="A45" s="373" t="s">
        <v>80</v>
      </c>
      <c r="B45" s="352" t="s">
        <v>81</v>
      </c>
      <c r="C45" s="406">
        <v>150050</v>
      </c>
      <c r="D45" s="369">
        <v>82600</v>
      </c>
      <c r="E45" s="406">
        <f>F45-D45</f>
        <v>142400</v>
      </c>
      <c r="F45" s="369">
        <v>225000</v>
      </c>
      <c r="G45" s="408">
        <v>202720</v>
      </c>
      <c r="H45" s="16"/>
      <c r="I45" s="402"/>
    </row>
    <row r="46" spans="1:9" ht="15" customHeight="1" x14ac:dyDescent="0.25">
      <c r="A46" s="403" t="s">
        <v>42</v>
      </c>
      <c r="B46" s="365"/>
      <c r="C46" s="404"/>
      <c r="D46" s="366"/>
      <c r="E46" s="366"/>
      <c r="F46" s="366"/>
      <c r="G46" s="405"/>
      <c r="H46" s="16"/>
      <c r="I46" s="402"/>
    </row>
    <row r="47" spans="1:9" ht="15" customHeight="1" x14ac:dyDescent="0.25">
      <c r="A47" s="373" t="s">
        <v>42</v>
      </c>
      <c r="B47" s="352" t="s">
        <v>176</v>
      </c>
      <c r="C47" s="406"/>
      <c r="D47" s="369">
        <v>7700</v>
      </c>
      <c r="E47" s="406">
        <f t="shared" ref="E47:E51" si="6">F47-D47</f>
        <v>42300</v>
      </c>
      <c r="F47" s="369">
        <v>50000</v>
      </c>
      <c r="G47" s="408">
        <v>50000</v>
      </c>
      <c r="H47" s="371"/>
      <c r="I47" s="402"/>
    </row>
    <row r="48" spans="1:9" s="45" customFormat="1" ht="15" customHeight="1" x14ac:dyDescent="0.25">
      <c r="A48" s="434" t="s">
        <v>962</v>
      </c>
      <c r="B48" s="352"/>
      <c r="C48" s="406">
        <v>347250</v>
      </c>
      <c r="D48" s="369">
        <v>23175.71</v>
      </c>
      <c r="E48" s="406">
        <f t="shared" si="6"/>
        <v>976824.29</v>
      </c>
      <c r="F48" s="369">
        <v>1000000</v>
      </c>
      <c r="G48" s="408">
        <v>494000</v>
      </c>
      <c r="H48" s="411"/>
      <c r="I48" s="412"/>
    </row>
    <row r="49" spans="1:9" ht="15" customHeight="1" x14ac:dyDescent="0.25">
      <c r="A49" s="434" t="s">
        <v>313</v>
      </c>
      <c r="B49" s="352"/>
      <c r="C49" s="406"/>
      <c r="D49" s="369"/>
      <c r="E49" s="406">
        <f t="shared" si="6"/>
        <v>50000</v>
      </c>
      <c r="F49" s="369">
        <v>50000</v>
      </c>
      <c r="G49" s="408">
        <v>50000</v>
      </c>
      <c r="H49" s="16"/>
      <c r="I49" s="402"/>
    </row>
    <row r="50" spans="1:9" ht="30" customHeight="1" x14ac:dyDescent="0.25">
      <c r="A50" s="434" t="s">
        <v>314</v>
      </c>
      <c r="B50" s="352"/>
      <c r="C50" s="406"/>
      <c r="D50" s="369">
        <v>20000</v>
      </c>
      <c r="E50" s="406">
        <f t="shared" si="6"/>
        <v>130000</v>
      </c>
      <c r="F50" s="369">
        <v>150000</v>
      </c>
      <c r="G50" s="408">
        <v>100000</v>
      </c>
      <c r="H50" s="16"/>
      <c r="I50" s="402"/>
    </row>
    <row r="51" spans="1:9" ht="15" customHeight="1" x14ac:dyDescent="0.25">
      <c r="A51" s="434" t="s">
        <v>315</v>
      </c>
      <c r="B51" s="352"/>
      <c r="C51" s="406"/>
      <c r="D51" s="369"/>
      <c r="E51" s="406">
        <f t="shared" si="6"/>
        <v>400000</v>
      </c>
      <c r="F51" s="369">
        <v>400000</v>
      </c>
      <c r="G51" s="408">
        <v>100000</v>
      </c>
      <c r="H51" s="16"/>
      <c r="I51" s="519">
        <f>SUM(G47:G51)</f>
        <v>794000</v>
      </c>
    </row>
    <row r="52" spans="1:9" ht="15" customHeight="1" x14ac:dyDescent="0.25">
      <c r="A52" s="434" t="s">
        <v>679</v>
      </c>
      <c r="B52" s="352"/>
      <c r="C52" s="406"/>
      <c r="D52" s="369"/>
      <c r="E52" s="406"/>
      <c r="F52" s="369"/>
      <c r="G52" s="408">
        <v>800000</v>
      </c>
      <c r="H52" s="16"/>
      <c r="I52" s="519"/>
    </row>
    <row r="53" spans="1:9" s="44" customFormat="1" ht="30" customHeight="1" x14ac:dyDescent="0.25">
      <c r="A53" s="396" t="s">
        <v>86</v>
      </c>
      <c r="B53" s="397"/>
      <c r="C53" s="398">
        <f>SUM(C39:C52)</f>
        <v>545900</v>
      </c>
      <c r="D53" s="398">
        <f>SUM(D39:D52)</f>
        <v>235975.71</v>
      </c>
      <c r="E53" s="398">
        <f>SUM(E39:E52)</f>
        <v>1790024.29</v>
      </c>
      <c r="F53" s="398">
        <f>SUM(F39:F52)</f>
        <v>2026000</v>
      </c>
      <c r="G53" s="398">
        <f>SUM(G39:G52)</f>
        <v>1953720</v>
      </c>
      <c r="H53" s="796">
        <v>1953720</v>
      </c>
      <c r="I53" s="400"/>
    </row>
    <row r="54" spans="1:9" ht="15" customHeight="1" x14ac:dyDescent="0.25">
      <c r="A54" s="424" t="s">
        <v>88</v>
      </c>
      <c r="B54" s="425"/>
      <c r="C54" s="426"/>
      <c r="D54" s="427"/>
      <c r="E54" s="426"/>
      <c r="F54" s="427"/>
      <c r="G54" s="428">
        <v>0</v>
      </c>
      <c r="H54" s="16"/>
      <c r="I54" s="402"/>
    </row>
    <row r="55" spans="1:9" s="44" customFormat="1" ht="15" customHeight="1" x14ac:dyDescent="0.25">
      <c r="A55" s="396" t="s">
        <v>112</v>
      </c>
      <c r="B55" s="436"/>
      <c r="C55" s="398">
        <f>SUM(C54:C54)</f>
        <v>0</v>
      </c>
      <c r="D55" s="398">
        <f>SUM(D54:D54)</f>
        <v>0</v>
      </c>
      <c r="E55" s="398">
        <f>SUM(E54:E54)</f>
        <v>0</v>
      </c>
      <c r="F55" s="398">
        <f>SUM(F54:F54)</f>
        <v>0</v>
      </c>
      <c r="G55" s="398">
        <f>SUM(G54:G54)</f>
        <v>0</v>
      </c>
      <c r="H55" s="401"/>
      <c r="I55" s="400"/>
    </row>
    <row r="56" spans="1:9" s="53" customFormat="1" ht="15" customHeight="1" x14ac:dyDescent="0.25">
      <c r="A56" s="419" t="s">
        <v>113</v>
      </c>
      <c r="B56" s="437"/>
      <c r="C56" s="421">
        <f>C36+C53+C55</f>
        <v>9233881.1600000001</v>
      </c>
      <c r="D56" s="421">
        <f>D36+D53+D55</f>
        <v>3257674.71</v>
      </c>
      <c r="E56" s="421">
        <f>E36+E53+E55</f>
        <v>11994762.145999998</v>
      </c>
      <c r="F56" s="421">
        <f>F36+F53+F55</f>
        <v>15252436.855999999</v>
      </c>
      <c r="G56" s="421">
        <f>G36+G53+G55</f>
        <v>16103942.743999999</v>
      </c>
      <c r="H56" s="521"/>
      <c r="I56" s="1052"/>
    </row>
    <row r="57" spans="1:9" x14ac:dyDescent="0.25">
      <c r="A57" s="16"/>
      <c r="B57" s="16"/>
      <c r="C57" s="16"/>
      <c r="D57" s="16"/>
      <c r="E57" s="16"/>
      <c r="F57" s="16"/>
      <c r="G57" s="16"/>
      <c r="H57" s="16"/>
      <c r="I57" s="402"/>
    </row>
    <row r="58" spans="1:9" x14ac:dyDescent="0.25">
      <c r="A58" s="16"/>
      <c r="B58" s="16"/>
      <c r="C58" s="16"/>
      <c r="D58" s="16"/>
      <c r="E58" s="16"/>
      <c r="F58" s="16"/>
      <c r="G58" s="16"/>
      <c r="H58" s="16"/>
      <c r="I58" s="402"/>
    </row>
    <row r="59" spans="1:9" x14ac:dyDescent="0.25">
      <c r="A59" s="16"/>
      <c r="B59" s="16"/>
      <c r="C59" s="16"/>
      <c r="D59" s="16"/>
      <c r="E59" s="16"/>
      <c r="F59" s="16"/>
      <c r="G59" s="16"/>
      <c r="H59" s="16"/>
      <c r="I59" s="402"/>
    </row>
    <row r="60" spans="1:9" x14ac:dyDescent="0.25">
      <c r="A60" s="16"/>
      <c r="B60" s="16"/>
      <c r="C60" s="16"/>
      <c r="D60" s="16"/>
      <c r="E60" s="16"/>
      <c r="F60" s="16"/>
      <c r="G60" s="16"/>
      <c r="H60" s="16"/>
      <c r="I60" s="402"/>
    </row>
    <row r="61" spans="1:9" x14ac:dyDescent="0.25">
      <c r="A61" s="16"/>
      <c r="B61" s="16"/>
      <c r="C61" s="16"/>
      <c r="D61" s="16"/>
      <c r="E61" s="16"/>
      <c r="F61" s="16"/>
      <c r="G61" s="16"/>
      <c r="H61" s="16"/>
      <c r="I61" s="402"/>
    </row>
    <row r="62" spans="1:9" x14ac:dyDescent="0.25">
      <c r="A62" s="16"/>
      <c r="B62" s="16"/>
      <c r="C62" s="16"/>
      <c r="D62" s="16"/>
      <c r="E62" s="16"/>
      <c r="F62" s="16"/>
      <c r="G62" s="16"/>
      <c r="H62" s="16"/>
      <c r="I62" s="402"/>
    </row>
    <row r="63" spans="1:9" x14ac:dyDescent="0.25">
      <c r="A63" s="16"/>
      <c r="B63" s="16"/>
      <c r="C63" s="16"/>
      <c r="D63" s="16"/>
      <c r="E63" s="16"/>
      <c r="F63" s="16"/>
      <c r="G63" s="16"/>
      <c r="H63" s="16"/>
      <c r="I63" s="402"/>
    </row>
    <row r="64" spans="1:9" x14ac:dyDescent="0.25">
      <c r="A64" s="16"/>
      <c r="B64" s="16"/>
      <c r="C64" s="16"/>
      <c r="D64" s="16"/>
      <c r="E64" s="16"/>
      <c r="F64" s="16"/>
      <c r="G64" s="16"/>
      <c r="H64" s="16"/>
      <c r="I64" s="402"/>
    </row>
    <row r="65" spans="1:9" x14ac:dyDescent="0.25">
      <c r="A65" s="16"/>
      <c r="B65" s="16"/>
      <c r="C65" s="16"/>
      <c r="D65" s="16"/>
      <c r="E65" s="16"/>
      <c r="F65" s="16"/>
      <c r="G65" s="16"/>
      <c r="H65" s="16"/>
      <c r="I65" s="402"/>
    </row>
    <row r="66" spans="1:9" x14ac:dyDescent="0.25">
      <c r="A66" s="16"/>
      <c r="B66" s="16"/>
      <c r="C66" s="16"/>
      <c r="D66" s="16"/>
      <c r="E66" s="16"/>
      <c r="F66" s="16"/>
      <c r="G66" s="16"/>
      <c r="H66" s="16"/>
      <c r="I66" s="402"/>
    </row>
    <row r="67" spans="1:9" x14ac:dyDescent="0.25">
      <c r="A67" s="16"/>
      <c r="B67" s="16"/>
      <c r="C67" s="16"/>
      <c r="D67" s="16"/>
      <c r="E67" s="16"/>
      <c r="F67" s="16"/>
      <c r="G67" s="16"/>
      <c r="H67" s="16"/>
      <c r="I67" s="402"/>
    </row>
    <row r="68" spans="1:9" x14ac:dyDescent="0.25">
      <c r="A68" s="16"/>
      <c r="B68" s="16"/>
      <c r="C68" s="16"/>
      <c r="D68" s="16"/>
      <c r="E68" s="16"/>
      <c r="F68" s="16"/>
      <c r="G68" s="16"/>
      <c r="H68" s="16"/>
      <c r="I68" s="402"/>
    </row>
    <row r="69" spans="1:9" x14ac:dyDescent="0.25">
      <c r="A69" s="16"/>
      <c r="B69" s="16"/>
      <c r="C69" s="16"/>
      <c r="D69" s="16"/>
      <c r="E69" s="16"/>
      <c r="F69" s="16"/>
      <c r="G69" s="16"/>
      <c r="H69" s="16"/>
      <c r="I69" s="402"/>
    </row>
    <row r="70" spans="1:9" x14ac:dyDescent="0.25">
      <c r="A70" s="16"/>
      <c r="B70" s="16"/>
      <c r="C70" s="16"/>
      <c r="D70" s="16"/>
      <c r="E70" s="16"/>
      <c r="F70" s="16"/>
      <c r="G70" s="16"/>
      <c r="H70" s="16"/>
      <c r="I70" s="402"/>
    </row>
    <row r="71" spans="1:9" x14ac:dyDescent="0.25">
      <c r="A71" s="16"/>
      <c r="B71" s="16"/>
      <c r="C71" s="16"/>
      <c r="D71" s="16"/>
      <c r="E71" s="16"/>
      <c r="F71" s="16"/>
      <c r="G71" s="16"/>
      <c r="H71" s="16"/>
      <c r="I71" s="402"/>
    </row>
    <row r="72" spans="1:9" x14ac:dyDescent="0.25">
      <c r="A72" s="16"/>
      <c r="B72" s="16"/>
      <c r="C72" s="16"/>
      <c r="D72" s="16"/>
      <c r="E72" s="16"/>
      <c r="F72" s="16"/>
      <c r="G72" s="16"/>
      <c r="H72" s="16"/>
      <c r="I72" s="402"/>
    </row>
    <row r="73" spans="1:9" x14ac:dyDescent="0.25">
      <c r="A73" s="16"/>
      <c r="B73" s="16"/>
      <c r="C73" s="16"/>
      <c r="D73" s="16"/>
      <c r="E73" s="16"/>
      <c r="F73" s="16"/>
      <c r="G73" s="16"/>
      <c r="H73" s="16"/>
      <c r="I73" s="402"/>
    </row>
    <row r="74" spans="1:9" x14ac:dyDescent="0.25">
      <c r="A74" s="16"/>
      <c r="B74" s="16"/>
      <c r="C74" s="16"/>
      <c r="D74" s="16"/>
      <c r="E74" s="16"/>
      <c r="F74" s="16"/>
      <c r="G74" s="16"/>
      <c r="H74" s="16"/>
      <c r="I74" s="402"/>
    </row>
    <row r="75" spans="1:9" x14ac:dyDescent="0.25">
      <c r="A75" s="16"/>
      <c r="B75" s="16"/>
      <c r="C75" s="16"/>
      <c r="D75" s="16"/>
      <c r="E75" s="16"/>
      <c r="F75" s="16"/>
      <c r="G75" s="16"/>
      <c r="H75" s="16"/>
      <c r="I75" s="402"/>
    </row>
    <row r="76" spans="1:9" x14ac:dyDescent="0.25">
      <c r="A76" s="16"/>
      <c r="B76" s="16"/>
      <c r="C76" s="16"/>
      <c r="D76" s="16"/>
      <c r="E76" s="16"/>
      <c r="F76" s="16"/>
      <c r="G76" s="16"/>
      <c r="H76" s="16"/>
      <c r="I76" s="402"/>
    </row>
    <row r="77" spans="1:9" x14ac:dyDescent="0.25">
      <c r="A77" s="16"/>
      <c r="B77" s="16"/>
      <c r="C77" s="16"/>
      <c r="D77" s="16"/>
      <c r="E77" s="16"/>
      <c r="F77" s="16"/>
      <c r="G77" s="16"/>
      <c r="H77" s="16"/>
      <c r="I77" s="402"/>
    </row>
    <row r="78" spans="1:9" x14ac:dyDescent="0.25">
      <c r="A78" s="16"/>
      <c r="B78" s="16"/>
      <c r="C78" s="16"/>
      <c r="D78" s="16"/>
      <c r="E78" s="16"/>
      <c r="F78" s="16"/>
      <c r="G78" s="16"/>
      <c r="H78" s="16"/>
      <c r="I78" s="402"/>
    </row>
    <row r="79" spans="1:9" x14ac:dyDescent="0.25">
      <c r="A79" s="16"/>
      <c r="B79" s="16"/>
      <c r="C79" s="16"/>
      <c r="D79" s="16"/>
      <c r="E79" s="16"/>
      <c r="F79" s="16"/>
      <c r="G79" s="16"/>
      <c r="H79" s="16"/>
      <c r="I79" s="402"/>
    </row>
    <row r="80" spans="1:9" x14ac:dyDescent="0.25">
      <c r="A80" s="16"/>
      <c r="B80" s="16"/>
      <c r="C80" s="16"/>
      <c r="D80" s="16"/>
      <c r="E80" s="16"/>
      <c r="F80" s="16"/>
      <c r="G80" s="16"/>
      <c r="H80" s="16"/>
      <c r="I80" s="402"/>
    </row>
    <row r="81" spans="1:9" ht="38.25" customHeight="1" x14ac:dyDescent="0.25">
      <c r="A81" s="16"/>
      <c r="B81" s="16"/>
      <c r="C81" s="16"/>
      <c r="D81" s="16"/>
      <c r="E81" s="16"/>
      <c r="F81" s="16"/>
      <c r="G81" s="16"/>
      <c r="H81" s="16"/>
      <c r="I81" s="402"/>
    </row>
    <row r="82" spans="1:9" x14ac:dyDescent="0.25">
      <c r="A82" s="16"/>
      <c r="B82" s="16"/>
      <c r="C82" s="16"/>
      <c r="D82" s="16"/>
      <c r="E82" s="16"/>
      <c r="F82" s="16"/>
      <c r="G82" s="16"/>
      <c r="H82" s="16"/>
      <c r="I82" s="402"/>
    </row>
    <row r="83" spans="1:9" x14ac:dyDescent="0.25">
      <c r="A83" s="16"/>
      <c r="B83" s="16"/>
      <c r="C83" s="16"/>
      <c r="D83" s="16"/>
      <c r="E83" s="16"/>
      <c r="F83" s="16"/>
      <c r="G83" s="16"/>
      <c r="H83" s="16"/>
      <c r="I83" s="402"/>
    </row>
    <row r="84" spans="1:9" x14ac:dyDescent="0.25">
      <c r="A84" s="16"/>
      <c r="B84" s="16"/>
      <c r="C84" s="16"/>
      <c r="D84" s="16"/>
      <c r="E84" s="16"/>
      <c r="F84" s="16"/>
      <c r="G84" s="16"/>
      <c r="H84" s="16"/>
      <c r="I84" s="402"/>
    </row>
    <row r="85" spans="1:9" x14ac:dyDescent="0.25">
      <c r="A85" s="16"/>
      <c r="B85" s="16"/>
      <c r="C85" s="16"/>
      <c r="D85" s="16"/>
      <c r="E85" s="16"/>
      <c r="F85" s="16"/>
      <c r="G85" s="16"/>
      <c r="H85" s="16"/>
      <c r="I85" s="402"/>
    </row>
    <row r="86" spans="1:9" x14ac:dyDescent="0.25">
      <c r="A86" s="16"/>
      <c r="B86" s="353"/>
      <c r="C86" s="16"/>
      <c r="D86" s="16"/>
      <c r="E86" s="16"/>
      <c r="F86" s="16"/>
      <c r="G86" s="16"/>
      <c r="H86" s="16"/>
      <c r="I86" s="402"/>
    </row>
    <row r="87" spans="1:9" x14ac:dyDescent="0.25">
      <c r="A87" s="16"/>
      <c r="B87" s="16"/>
      <c r="C87" s="16"/>
      <c r="D87" s="16"/>
      <c r="E87" s="16"/>
      <c r="F87" s="16"/>
      <c r="G87" s="16"/>
      <c r="H87" s="16"/>
      <c r="I87" s="402"/>
    </row>
    <row r="88" spans="1:9" x14ac:dyDescent="0.25">
      <c r="A88" s="16"/>
      <c r="B88" s="16"/>
      <c r="C88" s="16"/>
      <c r="D88" s="16"/>
      <c r="E88" s="16"/>
      <c r="F88" s="16"/>
      <c r="G88" s="16"/>
      <c r="H88" s="16"/>
      <c r="I88" s="402"/>
    </row>
    <row r="89" spans="1:9" x14ac:dyDescent="0.25">
      <c r="A89" s="16"/>
      <c r="B89" s="16"/>
      <c r="C89" s="16"/>
      <c r="D89" s="16"/>
      <c r="E89" s="16"/>
      <c r="F89" s="16"/>
      <c r="G89" s="16"/>
      <c r="H89" s="16"/>
      <c r="I89"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5" fitToHeight="0" orientation="portrait" horizontalDpi="360" verticalDpi="360" r:id="rId1"/>
  <headerFooter scaleWithDoc="0">
    <oddFooter>&amp;C&amp;"Candara,Regular"&amp;10Page &amp;"Candara,Bold"&amp;P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pageSetUpPr fitToPage="1"/>
  </sheetPr>
  <dimension ref="A1:K97"/>
  <sheetViews>
    <sheetView view="pageBreakPreview" topLeftCell="A43" zoomScale="85" zoomScaleNormal="130" zoomScaleSheetLayoutView="85" workbookViewId="0">
      <pane xSplit="1" topLeftCell="B1" activePane="topRight" state="frozen"/>
      <selection activeCell="C40" sqref="C40"/>
      <selection pane="top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5703125" style="41" customWidth="1"/>
    <col min="9" max="9" width="16.855468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171</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v>
      </c>
      <c r="B12" s="352" t="s">
        <v>6</v>
      </c>
      <c r="C12" s="406">
        <v>538344</v>
      </c>
      <c r="D12" s="369">
        <v>283632</v>
      </c>
      <c r="E12" s="406">
        <f>F12-D12</f>
        <v>314578.80000000005</v>
      </c>
      <c r="F12" s="369">
        <v>598210.80000000005</v>
      </c>
      <c r="G12" s="408">
        <f>H12+I12</f>
        <v>647990.40000000014</v>
      </c>
      <c r="H12" s="438">
        <v>623990.40000000014</v>
      </c>
      <c r="I12" s="49">
        <f>I14/2</f>
        <v>24000</v>
      </c>
    </row>
    <row r="13" spans="1:9" ht="15" customHeight="1" x14ac:dyDescent="0.25">
      <c r="A13" s="403" t="s">
        <v>7</v>
      </c>
      <c r="B13" s="365"/>
      <c r="C13" s="404"/>
      <c r="D13" s="366"/>
      <c r="E13" s="404"/>
      <c r="F13" s="366"/>
      <c r="G13" s="432"/>
      <c r="H13" s="16"/>
    </row>
    <row r="14" spans="1:9" ht="15" customHeight="1" x14ac:dyDescent="0.25">
      <c r="A14" s="373" t="s">
        <v>8</v>
      </c>
      <c r="B14" s="352" t="s">
        <v>9</v>
      </c>
      <c r="C14" s="406">
        <v>48000</v>
      </c>
      <c r="D14" s="369">
        <v>24000</v>
      </c>
      <c r="E14" s="406">
        <f t="shared" ref="E14:E17" si="0">F14-D14</f>
        <v>24000</v>
      </c>
      <c r="F14" s="369">
        <v>48000</v>
      </c>
      <c r="G14" s="717">
        <f>param_pera*CPIO_PLATILLA_ITEMS*12</f>
        <v>48000</v>
      </c>
      <c r="H14" s="402"/>
      <c r="I14" s="49">
        <v>48000</v>
      </c>
    </row>
    <row r="15" spans="1:9" ht="15" customHeight="1" x14ac:dyDescent="0.25">
      <c r="A15" s="373" t="s">
        <v>15</v>
      </c>
      <c r="B15" s="352" t="s">
        <v>16</v>
      </c>
      <c r="C15" s="406">
        <v>12000</v>
      </c>
      <c r="D15" s="369">
        <v>12000</v>
      </c>
      <c r="E15" s="406">
        <f t="shared" si="0"/>
        <v>0</v>
      </c>
      <c r="F15" s="369">
        <v>12000</v>
      </c>
      <c r="G15" s="408">
        <f>param_uniform*CPIO_PLATILLA_ITEMS</f>
        <v>12000</v>
      </c>
      <c r="H15" s="402"/>
    </row>
    <row r="16" spans="1:9" ht="15" customHeight="1" x14ac:dyDescent="0.25">
      <c r="A16" s="373" t="s">
        <v>17</v>
      </c>
      <c r="B16" s="352" t="s">
        <v>18</v>
      </c>
      <c r="C16" s="406">
        <v>44862</v>
      </c>
      <c r="D16" s="369"/>
      <c r="E16" s="406">
        <f t="shared" si="0"/>
        <v>49850.9</v>
      </c>
      <c r="F16" s="369">
        <v>49850.9</v>
      </c>
      <c r="G16" s="408">
        <f>H12/12+I16</f>
        <v>63999.200000000012</v>
      </c>
      <c r="H16" s="402"/>
      <c r="I16" s="49">
        <f>I14/4</f>
        <v>12000</v>
      </c>
    </row>
    <row r="17" spans="1:11" ht="15" customHeight="1" x14ac:dyDescent="0.25">
      <c r="A17" s="373" t="s">
        <v>19</v>
      </c>
      <c r="B17" s="352" t="s">
        <v>20</v>
      </c>
      <c r="C17" s="406">
        <v>10000</v>
      </c>
      <c r="D17" s="369"/>
      <c r="E17" s="406">
        <f t="shared" si="0"/>
        <v>10000</v>
      </c>
      <c r="F17" s="369">
        <v>10000</v>
      </c>
      <c r="G17" s="408">
        <f>param_cash_gift*CPIO_PLATILLA_ITEMS</f>
        <v>10000</v>
      </c>
      <c r="H17" s="402"/>
    </row>
    <row r="18" spans="1:11" ht="15" customHeight="1" x14ac:dyDescent="0.25">
      <c r="A18" s="403" t="s">
        <v>21</v>
      </c>
      <c r="B18" s="365"/>
      <c r="C18" s="404"/>
      <c r="D18" s="366"/>
      <c r="E18" s="406"/>
      <c r="F18" s="366"/>
      <c r="G18" s="405"/>
      <c r="H18" s="402"/>
    </row>
    <row r="19" spans="1:11" ht="15" customHeight="1" x14ac:dyDescent="0.25">
      <c r="A19" s="373" t="s">
        <v>22</v>
      </c>
      <c r="B19" s="352" t="s">
        <v>23</v>
      </c>
      <c r="C19" s="406">
        <v>64601.279999999999</v>
      </c>
      <c r="D19" s="369">
        <v>34025.839999999997</v>
      </c>
      <c r="E19" s="406">
        <f t="shared" ref="E19:E22" si="1">F19-D19</f>
        <v>37759.456000000006</v>
      </c>
      <c r="F19" s="369">
        <v>71785.296000000002</v>
      </c>
      <c r="G19" s="408">
        <f>H12*12%</f>
        <v>74878.848000000013</v>
      </c>
      <c r="H19" s="402"/>
    </row>
    <row r="20" spans="1:11" ht="15" customHeight="1" x14ac:dyDescent="0.25">
      <c r="A20" s="373" t="s">
        <v>24</v>
      </c>
      <c r="B20" s="352" t="s">
        <v>25</v>
      </c>
      <c r="C20" s="406">
        <v>2200</v>
      </c>
      <c r="D20" s="369">
        <v>1200</v>
      </c>
      <c r="E20" s="406">
        <f t="shared" si="1"/>
        <v>2400</v>
      </c>
      <c r="F20" s="369">
        <v>3600</v>
      </c>
      <c r="G20" s="408">
        <f>param_pagibig*CPIO_PLATILLA_ITEMS*12</f>
        <v>3600</v>
      </c>
      <c r="H20" s="402"/>
      <c r="K20" s="41" t="s">
        <v>610</v>
      </c>
    </row>
    <row r="21" spans="1:11" ht="15" customHeight="1" x14ac:dyDescent="0.25">
      <c r="A21" s="373" t="s">
        <v>26</v>
      </c>
      <c r="B21" s="352" t="s">
        <v>27</v>
      </c>
      <c r="C21" s="406">
        <v>8187.47</v>
      </c>
      <c r="D21" s="369">
        <v>5622.66</v>
      </c>
      <c r="E21" s="406">
        <f t="shared" si="1"/>
        <v>9177.34</v>
      </c>
      <c r="F21" s="369">
        <v>14800</v>
      </c>
      <c r="G21" s="408">
        <f>ROUND(H21+(H21*0.1), -1)</f>
        <v>13730</v>
      </c>
      <c r="H21" s="402">
        <v>12479.808000000001</v>
      </c>
    </row>
    <row r="22" spans="1:11" ht="15" customHeight="1" x14ac:dyDescent="0.25">
      <c r="A22" s="373" t="s">
        <v>28</v>
      </c>
      <c r="B22" s="352" t="s">
        <v>29</v>
      </c>
      <c r="C22" s="406">
        <v>2400</v>
      </c>
      <c r="D22" s="369">
        <v>1200</v>
      </c>
      <c r="E22" s="406">
        <f t="shared" si="1"/>
        <v>2400</v>
      </c>
      <c r="F22" s="369">
        <v>3600</v>
      </c>
      <c r="G22" s="408">
        <f>param_ecc*CPIO_PLATILLA_ITEMS*12</f>
        <v>3600</v>
      </c>
      <c r="H22" s="402"/>
    </row>
    <row r="23" spans="1:11" ht="15" customHeight="1" x14ac:dyDescent="0.25">
      <c r="A23" s="403" t="s">
        <v>30</v>
      </c>
      <c r="B23" s="365"/>
      <c r="C23" s="404"/>
      <c r="D23" s="366"/>
      <c r="E23" s="406"/>
      <c r="F23" s="366"/>
      <c r="G23" s="405"/>
      <c r="H23" s="402"/>
    </row>
    <row r="24" spans="1:11" ht="15" customHeight="1" x14ac:dyDescent="0.25">
      <c r="A24" s="373" t="s">
        <v>30</v>
      </c>
      <c r="B24" s="352" t="s">
        <v>33</v>
      </c>
      <c r="C24" s="406"/>
      <c r="D24" s="369"/>
      <c r="E24" s="406"/>
      <c r="F24" s="369"/>
      <c r="G24" s="408"/>
      <c r="H24" s="519">
        <f>SUM(G24:G31)</f>
        <v>93999.200000000012</v>
      </c>
    </row>
    <row r="25" spans="1:11" ht="15" customHeight="1" x14ac:dyDescent="0.25">
      <c r="A25" s="434" t="s">
        <v>332</v>
      </c>
      <c r="B25" s="352"/>
      <c r="C25" s="406">
        <v>44862</v>
      </c>
      <c r="D25" s="369">
        <v>47272</v>
      </c>
      <c r="E25" s="406">
        <f t="shared" ref="E25:E27" si="2">F25-D25</f>
        <v>2578.9000000000015</v>
      </c>
      <c r="F25" s="369">
        <v>49850.9</v>
      </c>
      <c r="G25" s="408">
        <f>H12/12+I25</f>
        <v>63999.200000000012</v>
      </c>
      <c r="H25" s="402"/>
      <c r="I25" s="49">
        <f>I14/4</f>
        <v>12000</v>
      </c>
    </row>
    <row r="26" spans="1:11" ht="15" customHeight="1" x14ac:dyDescent="0.25">
      <c r="A26" s="434" t="s">
        <v>333</v>
      </c>
      <c r="B26" s="352"/>
      <c r="C26" s="406">
        <v>10000</v>
      </c>
      <c r="D26" s="369"/>
      <c r="E26" s="406">
        <f t="shared" si="2"/>
        <v>10000</v>
      </c>
      <c r="F26" s="369">
        <v>10000</v>
      </c>
      <c r="G26" s="408">
        <f>param_pei*CPIO_PLATILLA_ITEMS</f>
        <v>10000</v>
      </c>
      <c r="H26" s="402"/>
    </row>
    <row r="27" spans="1:11" ht="30" customHeight="1" x14ac:dyDescent="0.25">
      <c r="A27" s="434" t="s">
        <v>649</v>
      </c>
      <c r="B27" s="352"/>
      <c r="C27" s="406"/>
      <c r="D27" s="369"/>
      <c r="E27" s="406">
        <f t="shared" si="2"/>
        <v>10000</v>
      </c>
      <c r="F27" s="369">
        <v>10000</v>
      </c>
      <c r="G27" s="408">
        <f>param_pbb*CPIO_PLATILLA_ITEMS</f>
        <v>10000</v>
      </c>
      <c r="H27" s="402"/>
    </row>
    <row r="28" spans="1:11" ht="15" customHeight="1" x14ac:dyDescent="0.25">
      <c r="A28" s="434" t="s">
        <v>334</v>
      </c>
      <c r="B28" s="352"/>
      <c r="C28" s="406"/>
      <c r="D28" s="369"/>
      <c r="E28" s="406"/>
      <c r="F28" s="369">
        <v>10000</v>
      </c>
      <c r="G28" s="408">
        <v>10000</v>
      </c>
      <c r="H28" s="446"/>
    </row>
    <row r="29" spans="1:11" ht="15" customHeight="1" x14ac:dyDescent="0.25">
      <c r="A29" s="513" t="s">
        <v>650</v>
      </c>
      <c r="B29" s="479"/>
      <c r="C29" s="381">
        <v>50000</v>
      </c>
      <c r="D29" s="381"/>
      <c r="E29" s="381"/>
      <c r="F29" s="381"/>
      <c r="G29" s="381"/>
      <c r="H29" s="375"/>
    </row>
    <row r="30" spans="1:11" ht="15" customHeight="1" x14ac:dyDescent="0.25">
      <c r="A30" s="376" t="s">
        <v>652</v>
      </c>
      <c r="B30" s="352"/>
      <c r="C30" s="369"/>
      <c r="D30" s="369"/>
      <c r="E30" s="369"/>
      <c r="F30" s="369"/>
      <c r="G30" s="369"/>
      <c r="H30" s="375"/>
    </row>
    <row r="31" spans="1:11" ht="15" customHeight="1" x14ac:dyDescent="0.25">
      <c r="A31" s="378" t="s">
        <v>653</v>
      </c>
      <c r="B31" s="379"/>
      <c r="C31" s="380">
        <v>20000</v>
      </c>
      <c r="D31" s="380"/>
      <c r="E31" s="381"/>
      <c r="F31" s="380"/>
      <c r="G31" s="380"/>
      <c r="H31" s="375"/>
    </row>
    <row r="32" spans="1:11" ht="15" customHeight="1" x14ac:dyDescent="0.25">
      <c r="A32" s="396" t="s">
        <v>34</v>
      </c>
      <c r="B32" s="397"/>
      <c r="C32" s="398">
        <f>SUM(C11:C31)</f>
        <v>855456.75</v>
      </c>
      <c r="D32" s="398">
        <f t="shared" ref="D32:F32" si="3">SUM(D11:D31)</f>
        <v>408952.49999999994</v>
      </c>
      <c r="E32" s="398">
        <f t="shared" si="3"/>
        <v>472745.39600000012</v>
      </c>
      <c r="F32" s="398">
        <f t="shared" si="3"/>
        <v>891697.89600000007</v>
      </c>
      <c r="G32" s="398">
        <f>SUM(G11:G31)</f>
        <v>971797.64800000004</v>
      </c>
      <c r="H32" s="16"/>
    </row>
    <row r="33" spans="1:9" ht="15" customHeight="1" x14ac:dyDescent="0.25">
      <c r="A33" s="429" t="s">
        <v>35</v>
      </c>
      <c r="B33" s="362"/>
      <c r="C33" s="430"/>
      <c r="D33" s="363"/>
      <c r="E33" s="430"/>
      <c r="F33" s="363"/>
      <c r="G33" s="431"/>
      <c r="H33" s="16"/>
    </row>
    <row r="34" spans="1:9" ht="15" customHeight="1" x14ac:dyDescent="0.25">
      <c r="A34" s="403" t="s">
        <v>58</v>
      </c>
      <c r="B34" s="365"/>
      <c r="C34" s="404"/>
      <c r="D34" s="366"/>
      <c r="E34" s="406"/>
      <c r="F34" s="366"/>
      <c r="G34" s="405"/>
      <c r="H34" s="16"/>
    </row>
    <row r="35" spans="1:9" x14ac:dyDescent="0.25">
      <c r="A35" s="373" t="s">
        <v>61</v>
      </c>
      <c r="B35" s="352" t="s">
        <v>62</v>
      </c>
      <c r="C35" s="406">
        <v>20000</v>
      </c>
      <c r="D35" s="369"/>
      <c r="E35" s="406">
        <f t="shared" ref="E35:E36" si="4">F35-D35</f>
        <v>36000</v>
      </c>
      <c r="F35" s="369">
        <v>36000</v>
      </c>
      <c r="G35" s="369">
        <v>36000</v>
      </c>
      <c r="H35" s="16"/>
    </row>
    <row r="36" spans="1:9" x14ac:dyDescent="0.25">
      <c r="A36" s="373" t="s">
        <v>63</v>
      </c>
      <c r="B36" s="352" t="s">
        <v>64</v>
      </c>
      <c r="C36" s="406"/>
      <c r="D36" s="369"/>
      <c r="E36" s="406">
        <f t="shared" si="4"/>
        <v>24000</v>
      </c>
      <c r="F36" s="369">
        <v>24000</v>
      </c>
      <c r="G36" s="369">
        <v>24000</v>
      </c>
      <c r="H36" s="16"/>
    </row>
    <row r="37" spans="1:9" x14ac:dyDescent="0.25">
      <c r="A37" s="403" t="s">
        <v>79</v>
      </c>
      <c r="B37" s="365"/>
      <c r="C37" s="404"/>
      <c r="D37" s="366"/>
      <c r="E37" s="406"/>
      <c r="F37" s="366"/>
      <c r="G37" s="366"/>
      <c r="H37" s="16"/>
    </row>
    <row r="38" spans="1:9" x14ac:dyDescent="0.25">
      <c r="A38" s="472" t="s">
        <v>80</v>
      </c>
      <c r="B38" s="442" t="s">
        <v>81</v>
      </c>
      <c r="C38" s="443">
        <v>181500</v>
      </c>
      <c r="D38" s="444">
        <v>121300</v>
      </c>
      <c r="E38" s="443">
        <f>F38-D38</f>
        <v>78700</v>
      </c>
      <c r="F38" s="444">
        <v>200000</v>
      </c>
      <c r="G38" s="444">
        <v>397800</v>
      </c>
      <c r="H38" s="523"/>
    </row>
    <row r="39" spans="1:9" ht="15" customHeight="1" x14ac:dyDescent="0.25">
      <c r="A39" s="403" t="s">
        <v>42</v>
      </c>
      <c r="B39" s="365"/>
      <c r="C39" s="404"/>
      <c r="D39" s="366"/>
      <c r="E39" s="404"/>
      <c r="F39" s="366"/>
      <c r="G39" s="405"/>
      <c r="H39" s="16"/>
    </row>
    <row r="40" spans="1:9" ht="15" customHeight="1" x14ac:dyDescent="0.25">
      <c r="A40" s="373" t="s">
        <v>36</v>
      </c>
      <c r="B40" s="352" t="s">
        <v>178</v>
      </c>
      <c r="C40" s="406">
        <v>1690000</v>
      </c>
      <c r="D40" s="369">
        <v>570000</v>
      </c>
      <c r="E40" s="406">
        <f>F40-D40</f>
        <v>1030000</v>
      </c>
      <c r="F40" s="369">
        <v>1600000</v>
      </c>
      <c r="G40" s="408">
        <v>1476000</v>
      </c>
      <c r="H40" s="439"/>
    </row>
    <row r="41" spans="1:9" ht="15" customHeight="1" x14ac:dyDescent="0.25">
      <c r="A41" s="373" t="s">
        <v>42</v>
      </c>
      <c r="B41" s="352" t="s">
        <v>176</v>
      </c>
      <c r="C41" s="406"/>
      <c r="D41" s="369"/>
      <c r="E41" s="406"/>
      <c r="F41" s="369"/>
      <c r="G41" s="408">
        <v>20000</v>
      </c>
      <c r="H41" s="371"/>
      <c r="I41" s="402"/>
    </row>
    <row r="42" spans="1:9" ht="30" customHeight="1" x14ac:dyDescent="0.25">
      <c r="A42" s="396" t="s">
        <v>86</v>
      </c>
      <c r="B42" s="397"/>
      <c r="C42" s="398">
        <f>SUM(C35:C41)</f>
        <v>1891500</v>
      </c>
      <c r="D42" s="398">
        <f>SUM(D35:D41)</f>
        <v>691300</v>
      </c>
      <c r="E42" s="398">
        <f>SUM(E35:E41)</f>
        <v>1168700</v>
      </c>
      <c r="F42" s="398">
        <f>SUM(F35:F41)</f>
        <v>1860000</v>
      </c>
      <c r="G42" s="398">
        <f>SUM(G35:G41)</f>
        <v>1953800</v>
      </c>
      <c r="H42" s="580">
        <v>1836000</v>
      </c>
    </row>
    <row r="43" spans="1:9" x14ac:dyDescent="0.25">
      <c r="A43" s="429" t="s">
        <v>88</v>
      </c>
      <c r="B43" s="362"/>
      <c r="C43" s="430"/>
      <c r="D43" s="363"/>
      <c r="E43" s="430"/>
      <c r="F43" s="363"/>
      <c r="G43" s="431">
        <v>0</v>
      </c>
      <c r="H43" s="16"/>
    </row>
    <row r="44" spans="1:9" x14ac:dyDescent="0.25">
      <c r="A44" s="396" t="s">
        <v>112</v>
      </c>
      <c r="B44" s="436"/>
      <c r="C44" s="398">
        <f>SUM(C43:C43)</f>
        <v>0</v>
      </c>
      <c r="D44" s="398">
        <f>SUM(D43:D43)</f>
        <v>0</v>
      </c>
      <c r="E44" s="398">
        <f>SUM(E43:E43)</f>
        <v>0</v>
      </c>
      <c r="F44" s="398">
        <f>SUM(F43:F43)</f>
        <v>0</v>
      </c>
      <c r="G44" s="398">
        <f>SUM(G43)</f>
        <v>0</v>
      </c>
      <c r="H44" s="439"/>
    </row>
    <row r="45" spans="1:9" x14ac:dyDescent="0.25">
      <c r="A45" s="419" t="s">
        <v>113</v>
      </c>
      <c r="B45" s="437"/>
      <c r="C45" s="421">
        <f>C32+C42+C44</f>
        <v>2746956.75</v>
      </c>
      <c r="D45" s="421">
        <f>D32+D42+D44</f>
        <v>1100252.5</v>
      </c>
      <c r="E45" s="421">
        <f>E32+E42+E44</f>
        <v>1641445.3960000002</v>
      </c>
      <c r="F45" s="421">
        <f>F32+F42+F44</f>
        <v>2751697.8960000002</v>
      </c>
      <c r="G45" s="421">
        <f>G32+G42+G44</f>
        <v>2925597.648</v>
      </c>
      <c r="H45" s="16"/>
    </row>
    <row r="46" spans="1:9" x14ac:dyDescent="0.25">
      <c r="A46" s="16"/>
      <c r="B46" s="16"/>
      <c r="C46" s="16"/>
      <c r="D46" s="16"/>
      <c r="E46" s="16"/>
      <c r="F46" s="527"/>
      <c r="G46" s="564"/>
      <c r="H46" s="16"/>
    </row>
    <row r="47" spans="1:9" x14ac:dyDescent="0.25">
      <c r="A47" s="16"/>
      <c r="B47" s="16"/>
      <c r="C47" s="16"/>
      <c r="D47" s="16"/>
      <c r="E47" s="16"/>
      <c r="F47" s="16"/>
      <c r="G47" s="16"/>
      <c r="H47" s="16"/>
    </row>
    <row r="48" spans="1:9"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ht="38.25" customHeight="1"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353"/>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row r="97" spans="1:8" x14ac:dyDescent="0.25">
      <c r="A97" s="16"/>
      <c r="B97" s="16"/>
      <c r="C97" s="16"/>
      <c r="D97" s="16"/>
      <c r="E97" s="16"/>
      <c r="F97" s="16"/>
      <c r="G97" s="16"/>
      <c r="H97"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pageSetUpPr fitToPage="1"/>
  </sheetPr>
  <dimension ref="A1:J88"/>
  <sheetViews>
    <sheetView view="pageBreakPreview" topLeftCell="A4" zoomScale="85" zoomScaleNormal="85" zoomScaleSheetLayoutView="85" workbookViewId="0">
      <pane xSplit="2" ySplit="5" topLeftCell="C9"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 style="41" bestFit="1" customWidth="1"/>
    <col min="9" max="9" width="12.855468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170</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v>
      </c>
      <c r="B12" s="352" t="s">
        <v>6</v>
      </c>
      <c r="C12" s="406">
        <v>1386996.44</v>
      </c>
      <c r="D12" s="369">
        <v>641402</v>
      </c>
      <c r="E12" s="406">
        <f>F12-D12</f>
        <v>740598.40000000014</v>
      </c>
      <c r="F12" s="369">
        <v>1382000.4000000001</v>
      </c>
      <c r="G12" s="408">
        <f>H12+I12</f>
        <v>1437284.4000000001</v>
      </c>
      <c r="H12" s="438">
        <v>1413284.4000000001</v>
      </c>
      <c r="I12" s="49">
        <f>I14/2</f>
        <v>24000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51000</v>
      </c>
      <c r="D14" s="369">
        <v>24000</v>
      </c>
      <c r="E14" s="406">
        <f t="shared" ref="E14:E17" si="0">F14-D14</f>
        <v>24000</v>
      </c>
      <c r="F14" s="369">
        <v>48000</v>
      </c>
      <c r="G14" s="408">
        <f>param_pera*LEGAL_PLATILLA_ITEMS*12</f>
        <v>48000</v>
      </c>
      <c r="H14" s="402"/>
      <c r="I14" s="49">
        <v>48000</v>
      </c>
    </row>
    <row r="15" spans="1:9" ht="15" customHeight="1" x14ac:dyDescent="0.25">
      <c r="A15" s="373" t="s">
        <v>11</v>
      </c>
      <c r="B15" s="352" t="s">
        <v>12</v>
      </c>
      <c r="C15" s="406">
        <v>84375</v>
      </c>
      <c r="D15" s="391">
        <v>40500</v>
      </c>
      <c r="E15" s="406">
        <f t="shared" si="0"/>
        <v>40500</v>
      </c>
      <c r="F15" s="369">
        <v>81000</v>
      </c>
      <c r="G15" s="408">
        <f>H15*12</f>
        <v>81000</v>
      </c>
      <c r="H15" s="402">
        <v>6750</v>
      </c>
    </row>
    <row r="16" spans="1:9" ht="15" customHeight="1" x14ac:dyDescent="0.25">
      <c r="A16" s="373" t="s">
        <v>13</v>
      </c>
      <c r="B16" s="352" t="s">
        <v>14</v>
      </c>
      <c r="C16" s="406">
        <v>84375</v>
      </c>
      <c r="D16" s="391">
        <v>40500</v>
      </c>
      <c r="E16" s="406">
        <f t="shared" si="0"/>
        <v>40500</v>
      </c>
      <c r="F16" s="369">
        <v>81000</v>
      </c>
      <c r="G16" s="408">
        <f>H16*12</f>
        <v>81000</v>
      </c>
      <c r="H16" s="402">
        <v>6750</v>
      </c>
    </row>
    <row r="17" spans="1:10" ht="15" customHeight="1" x14ac:dyDescent="0.25">
      <c r="A17" s="373" t="s">
        <v>15</v>
      </c>
      <c r="B17" s="352" t="s">
        <v>16</v>
      </c>
      <c r="C17" s="406">
        <v>12000</v>
      </c>
      <c r="D17" s="369">
        <v>12000</v>
      </c>
      <c r="E17" s="406">
        <f t="shared" si="0"/>
        <v>0</v>
      </c>
      <c r="F17" s="369">
        <v>12000</v>
      </c>
      <c r="G17" s="408">
        <f>param_uniform*LEGAL_PLATILLA_ITEMS</f>
        <v>12000</v>
      </c>
      <c r="H17" s="402"/>
    </row>
    <row r="18" spans="1:10" ht="15" customHeight="1" x14ac:dyDescent="0.25">
      <c r="A18" s="373" t="s">
        <v>126</v>
      </c>
      <c r="B18" s="352" t="s">
        <v>125</v>
      </c>
      <c r="C18" s="406"/>
      <c r="D18" s="369"/>
      <c r="E18" s="406"/>
      <c r="F18" s="369"/>
      <c r="G18" s="408"/>
      <c r="H18" s="402"/>
    </row>
    <row r="19" spans="1:10" ht="15" customHeight="1" x14ac:dyDescent="0.25">
      <c r="A19" s="373" t="s">
        <v>17</v>
      </c>
      <c r="B19" s="352" t="s">
        <v>18</v>
      </c>
      <c r="C19" s="406">
        <v>104697</v>
      </c>
      <c r="D19" s="369"/>
      <c r="E19" s="406">
        <f t="shared" ref="E19:E20" si="1">F19-D19</f>
        <v>115166.70000000001</v>
      </c>
      <c r="F19" s="369">
        <v>115166.70000000001</v>
      </c>
      <c r="G19" s="408">
        <f>H12/12+I19</f>
        <v>129773.70000000001</v>
      </c>
      <c r="H19" s="16"/>
      <c r="I19" s="49">
        <f>I14/4</f>
        <v>12000</v>
      </c>
    </row>
    <row r="20" spans="1:10" ht="15" customHeight="1" x14ac:dyDescent="0.25">
      <c r="A20" s="373" t="s">
        <v>19</v>
      </c>
      <c r="B20" s="352" t="s">
        <v>20</v>
      </c>
      <c r="C20" s="406">
        <v>10000</v>
      </c>
      <c r="D20" s="369"/>
      <c r="E20" s="406">
        <f t="shared" si="1"/>
        <v>10000</v>
      </c>
      <c r="F20" s="369">
        <v>10000</v>
      </c>
      <c r="G20" s="408">
        <f>param_cash_gift*LEGAL_PLATILLA_ITEMS</f>
        <v>10000</v>
      </c>
      <c r="H20" s="402"/>
      <c r="J20" s="41" t="s">
        <v>610</v>
      </c>
    </row>
    <row r="21" spans="1:10" ht="15" customHeight="1" x14ac:dyDescent="0.25">
      <c r="A21" s="403" t="s">
        <v>21</v>
      </c>
      <c r="B21" s="365"/>
      <c r="C21" s="404"/>
      <c r="D21" s="366"/>
      <c r="E21" s="406"/>
      <c r="F21" s="366"/>
      <c r="G21" s="408"/>
      <c r="H21" s="402"/>
    </row>
    <row r="22" spans="1:10" ht="15" customHeight="1" x14ac:dyDescent="0.25">
      <c r="A22" s="373" t="s">
        <v>22</v>
      </c>
      <c r="B22" s="352" t="s">
        <v>23</v>
      </c>
      <c r="C22" s="406">
        <v>166439.57</v>
      </c>
      <c r="D22" s="369">
        <v>77017.14</v>
      </c>
      <c r="E22" s="406">
        <f t="shared" ref="E22:E25" si="2">F22-D22</f>
        <v>88822.90800000001</v>
      </c>
      <c r="F22" s="369">
        <v>165840.04800000001</v>
      </c>
      <c r="G22" s="408">
        <f>H12*12%</f>
        <v>169594.128</v>
      </c>
      <c r="H22" s="402"/>
    </row>
    <row r="23" spans="1:10" ht="15" customHeight="1" x14ac:dyDescent="0.25">
      <c r="A23" s="373" t="s">
        <v>24</v>
      </c>
      <c r="B23" s="352" t="s">
        <v>25</v>
      </c>
      <c r="C23" s="406">
        <v>2600</v>
      </c>
      <c r="D23" s="369">
        <v>1200</v>
      </c>
      <c r="E23" s="406">
        <f t="shared" si="2"/>
        <v>2400</v>
      </c>
      <c r="F23" s="369">
        <v>3600</v>
      </c>
      <c r="G23" s="408">
        <f>param_pagibig*LEGAL_PLATILLA_ITEMS*12</f>
        <v>3600</v>
      </c>
      <c r="H23" s="16"/>
    </row>
    <row r="24" spans="1:10" ht="15" customHeight="1" x14ac:dyDescent="0.25">
      <c r="A24" s="373" t="s">
        <v>26</v>
      </c>
      <c r="B24" s="352" t="s">
        <v>27</v>
      </c>
      <c r="C24" s="406">
        <v>13591.23</v>
      </c>
      <c r="D24" s="369">
        <v>11553.09</v>
      </c>
      <c r="E24" s="406">
        <f t="shared" si="2"/>
        <v>12446.91</v>
      </c>
      <c r="F24" s="369">
        <v>24000</v>
      </c>
      <c r="G24" s="408">
        <f>ROUND(H24+(H24*0.1), -1)</f>
        <v>25870</v>
      </c>
      <c r="H24" s="16">
        <v>23518.51</v>
      </c>
    </row>
    <row r="25" spans="1:10" ht="15" customHeight="1" x14ac:dyDescent="0.25">
      <c r="A25" s="373" t="s">
        <v>28</v>
      </c>
      <c r="B25" s="352" t="s">
        <v>29</v>
      </c>
      <c r="C25" s="406">
        <v>2600</v>
      </c>
      <c r="D25" s="369">
        <v>1200</v>
      </c>
      <c r="E25" s="406">
        <f t="shared" si="2"/>
        <v>2400</v>
      </c>
      <c r="F25" s="369">
        <v>3600</v>
      </c>
      <c r="G25" s="408">
        <f>param_ecc*LEGAL_PLATILLA_ITEMS*12</f>
        <v>3600</v>
      </c>
      <c r="H25" s="16"/>
    </row>
    <row r="26" spans="1:10" ht="15" customHeight="1" x14ac:dyDescent="0.25">
      <c r="A26" s="403" t="s">
        <v>30</v>
      </c>
      <c r="B26" s="365"/>
      <c r="C26" s="404"/>
      <c r="D26" s="366"/>
      <c r="E26" s="406"/>
      <c r="F26" s="366"/>
      <c r="G26" s="408"/>
      <c r="H26" s="16"/>
    </row>
    <row r="27" spans="1:10" ht="15" customHeight="1" x14ac:dyDescent="0.25">
      <c r="A27" s="373" t="s">
        <v>30</v>
      </c>
      <c r="B27" s="352" t="s">
        <v>33</v>
      </c>
      <c r="C27" s="406"/>
      <c r="D27" s="369"/>
      <c r="E27" s="369"/>
      <c r="F27" s="369"/>
      <c r="G27" s="408"/>
      <c r="H27" s="446">
        <f>SUM(G27:G33)</f>
        <v>149773.70000000001</v>
      </c>
    </row>
    <row r="28" spans="1:10" ht="15" customHeight="1" x14ac:dyDescent="0.25">
      <c r="A28" s="434" t="s">
        <v>332</v>
      </c>
      <c r="B28" s="352"/>
      <c r="C28" s="406">
        <v>104697</v>
      </c>
      <c r="D28" s="369">
        <v>107067</v>
      </c>
      <c r="E28" s="406">
        <f t="shared" ref="E28:E30" si="3">F28-D28</f>
        <v>8099.7000000000116</v>
      </c>
      <c r="F28" s="369">
        <v>115166.70000000001</v>
      </c>
      <c r="G28" s="408">
        <f>H12/12+I28</f>
        <v>129773.70000000001</v>
      </c>
      <c r="H28" s="16"/>
      <c r="I28" s="49">
        <f>I14/4</f>
        <v>12000</v>
      </c>
    </row>
    <row r="29" spans="1:10" ht="15" customHeight="1" x14ac:dyDescent="0.25">
      <c r="A29" s="434" t="s">
        <v>333</v>
      </c>
      <c r="B29" s="352"/>
      <c r="C29" s="406">
        <v>10000</v>
      </c>
      <c r="D29" s="369"/>
      <c r="E29" s="406">
        <f t="shared" si="3"/>
        <v>10000</v>
      </c>
      <c r="F29" s="369">
        <v>10000</v>
      </c>
      <c r="G29" s="408">
        <f>param_pei*LEGAL_PLATILLA_ITEMS</f>
        <v>10000</v>
      </c>
      <c r="H29" s="402"/>
    </row>
    <row r="30" spans="1:10" ht="30" customHeight="1" x14ac:dyDescent="0.25">
      <c r="A30" s="434" t="s">
        <v>649</v>
      </c>
      <c r="B30" s="352"/>
      <c r="C30" s="406"/>
      <c r="D30" s="369"/>
      <c r="E30" s="406">
        <f t="shared" si="3"/>
        <v>10000</v>
      </c>
      <c r="F30" s="369">
        <v>10000</v>
      </c>
      <c r="G30" s="408">
        <f>param_pbb*LEGAL_PLATILLA_ITEMS</f>
        <v>10000</v>
      </c>
      <c r="H30" s="402"/>
    </row>
    <row r="31" spans="1:10" ht="15" customHeight="1" x14ac:dyDescent="0.25">
      <c r="A31" s="513" t="s">
        <v>650</v>
      </c>
      <c r="B31" s="479"/>
      <c r="C31" s="381">
        <v>50000</v>
      </c>
      <c r="D31" s="381"/>
      <c r="E31" s="381"/>
      <c r="F31" s="381"/>
      <c r="G31" s="381"/>
      <c r="H31" s="375"/>
    </row>
    <row r="32" spans="1:10" ht="15" customHeight="1" x14ac:dyDescent="0.25">
      <c r="A32" s="376" t="s">
        <v>652</v>
      </c>
      <c r="B32" s="352"/>
      <c r="C32" s="369"/>
      <c r="D32" s="369"/>
      <c r="E32" s="369"/>
      <c r="F32" s="369"/>
      <c r="G32" s="369"/>
      <c r="H32" s="375"/>
    </row>
    <row r="33" spans="1:8" ht="15" customHeight="1" x14ac:dyDescent="0.25">
      <c r="A33" s="378" t="s">
        <v>653</v>
      </c>
      <c r="B33" s="379"/>
      <c r="C33" s="380">
        <v>20000</v>
      </c>
      <c r="D33" s="380"/>
      <c r="E33" s="381"/>
      <c r="F33" s="380"/>
      <c r="G33" s="380"/>
      <c r="H33" s="375"/>
    </row>
    <row r="34" spans="1:8" ht="15" customHeight="1" x14ac:dyDescent="0.25">
      <c r="A34" s="396" t="s">
        <v>34</v>
      </c>
      <c r="B34" s="397"/>
      <c r="C34" s="398">
        <f>SUM(C11:C33)</f>
        <v>2103371.2400000002</v>
      </c>
      <c r="D34" s="398">
        <f t="shared" ref="D34:F34" si="4">SUM(D11:D33)</f>
        <v>956439.23</v>
      </c>
      <c r="E34" s="398">
        <f t="shared" si="4"/>
        <v>1104934.618</v>
      </c>
      <c r="F34" s="398">
        <f t="shared" si="4"/>
        <v>2061373.848</v>
      </c>
      <c r="G34" s="398">
        <f>SUM(G11:G33)</f>
        <v>2151495.9280000003</v>
      </c>
      <c r="H34" s="519"/>
    </row>
    <row r="35" spans="1:8" ht="15" customHeight="1" x14ac:dyDescent="0.25">
      <c r="A35" s="429" t="s">
        <v>35</v>
      </c>
      <c r="B35" s="362"/>
      <c r="C35" s="430"/>
      <c r="D35" s="363"/>
      <c r="E35" s="430"/>
      <c r="F35" s="363"/>
      <c r="G35" s="579"/>
      <c r="H35" s="402"/>
    </row>
    <row r="36" spans="1:8" ht="15" customHeight="1" x14ac:dyDescent="0.25">
      <c r="A36" s="403" t="s">
        <v>50</v>
      </c>
      <c r="B36" s="365"/>
      <c r="C36" s="404"/>
      <c r="D36" s="366"/>
      <c r="E36" s="406"/>
      <c r="F36" s="366"/>
      <c r="G36" s="405"/>
      <c r="H36" s="16"/>
    </row>
    <row r="37" spans="1:8" ht="15" customHeight="1" x14ac:dyDescent="0.25">
      <c r="A37" s="373" t="s">
        <v>244</v>
      </c>
      <c r="B37" s="352" t="s">
        <v>54</v>
      </c>
      <c r="C37" s="406"/>
      <c r="D37" s="369"/>
      <c r="E37" s="406">
        <f>F37-D37</f>
        <v>0</v>
      </c>
      <c r="F37" s="369"/>
      <c r="G37" s="408">
        <v>0</v>
      </c>
      <c r="H37" s="16"/>
    </row>
    <row r="38" spans="1:8" ht="15" customHeight="1" x14ac:dyDescent="0.25">
      <c r="A38" s="403" t="s">
        <v>55</v>
      </c>
      <c r="B38" s="365"/>
      <c r="C38" s="404"/>
      <c r="D38" s="366"/>
      <c r="E38" s="406"/>
      <c r="F38" s="366"/>
      <c r="G38" s="405"/>
      <c r="H38" s="16"/>
    </row>
    <row r="39" spans="1:8" x14ac:dyDescent="0.25">
      <c r="A39" s="373" t="s">
        <v>56</v>
      </c>
      <c r="B39" s="433" t="s">
        <v>57</v>
      </c>
      <c r="C39" s="406"/>
      <c r="D39" s="369"/>
      <c r="E39" s="406"/>
      <c r="F39" s="369">
        <v>20000</v>
      </c>
      <c r="G39" s="408">
        <v>12000</v>
      </c>
      <c r="H39" s="16"/>
    </row>
    <row r="40" spans="1:8" ht="15" customHeight="1" x14ac:dyDescent="0.25">
      <c r="A40" s="403" t="s">
        <v>58</v>
      </c>
      <c r="B40" s="365"/>
      <c r="C40" s="404"/>
      <c r="D40" s="366"/>
      <c r="E40" s="406"/>
      <c r="F40" s="366"/>
      <c r="G40" s="405"/>
      <c r="H40" s="16"/>
    </row>
    <row r="41" spans="1:8" ht="15" customHeight="1" x14ac:dyDescent="0.25">
      <c r="A41" s="373" t="s">
        <v>61</v>
      </c>
      <c r="B41" s="352" t="s">
        <v>62</v>
      </c>
      <c r="C41" s="406"/>
      <c r="D41" s="369">
        <v>2500</v>
      </c>
      <c r="E41" s="406">
        <f t="shared" ref="E41:E42" si="5">F41-D41</f>
        <v>33500</v>
      </c>
      <c r="F41" s="369">
        <v>36000</v>
      </c>
      <c r="G41" s="369">
        <v>36000</v>
      </c>
      <c r="H41" s="16"/>
    </row>
    <row r="42" spans="1:8" ht="15" customHeight="1" x14ac:dyDescent="0.25">
      <c r="A42" s="373" t="s">
        <v>63</v>
      </c>
      <c r="B42" s="352" t="s">
        <v>64</v>
      </c>
      <c r="C42" s="406">
        <v>27500</v>
      </c>
      <c r="D42" s="369">
        <v>7500</v>
      </c>
      <c r="E42" s="406">
        <f t="shared" si="5"/>
        <v>28500</v>
      </c>
      <c r="F42" s="369">
        <v>36000</v>
      </c>
      <c r="G42" s="408">
        <v>30000</v>
      </c>
      <c r="H42" s="16"/>
    </row>
    <row r="43" spans="1:8" ht="15" customHeight="1" x14ac:dyDescent="0.25">
      <c r="A43" s="403" t="s">
        <v>79</v>
      </c>
      <c r="B43" s="365"/>
      <c r="C43" s="404"/>
      <c r="D43" s="366"/>
      <c r="E43" s="406"/>
      <c r="F43" s="366"/>
      <c r="G43" s="405"/>
      <c r="H43" s="16"/>
    </row>
    <row r="44" spans="1:8" ht="15" customHeight="1" x14ac:dyDescent="0.25">
      <c r="A44" s="373" t="s">
        <v>80</v>
      </c>
      <c r="B44" s="352" t="s">
        <v>81</v>
      </c>
      <c r="C44" s="406">
        <v>397200</v>
      </c>
      <c r="D44" s="369">
        <v>190200</v>
      </c>
      <c r="E44" s="406">
        <f>F44-D44</f>
        <v>230400</v>
      </c>
      <c r="F44" s="369">
        <v>420600</v>
      </c>
      <c r="G44" s="408">
        <v>420600</v>
      </c>
      <c r="H44" s="16"/>
    </row>
    <row r="45" spans="1:8" ht="15" customHeight="1" x14ac:dyDescent="0.25">
      <c r="A45" s="403" t="s">
        <v>42</v>
      </c>
      <c r="B45" s="365"/>
      <c r="C45" s="404"/>
      <c r="D45" s="366"/>
      <c r="E45" s="406"/>
      <c r="F45" s="366"/>
      <c r="G45" s="405"/>
      <c r="H45" s="16"/>
    </row>
    <row r="46" spans="1:8" ht="15" customHeight="1" x14ac:dyDescent="0.25">
      <c r="A46" s="373" t="s">
        <v>42</v>
      </c>
      <c r="B46" s="433" t="s">
        <v>176</v>
      </c>
      <c r="C46" s="406"/>
      <c r="D46" s="369"/>
      <c r="E46" s="406"/>
      <c r="F46" s="369">
        <v>50000</v>
      </c>
      <c r="G46" s="369">
        <v>30600</v>
      </c>
      <c r="H46" s="16"/>
    </row>
    <row r="47" spans="1:8" ht="30" customHeight="1" x14ac:dyDescent="0.25">
      <c r="A47" s="396" t="s">
        <v>86</v>
      </c>
      <c r="B47" s="397"/>
      <c r="C47" s="398">
        <f>SUM(C36:C46)</f>
        <v>424700</v>
      </c>
      <c r="D47" s="398">
        <f>SUM(D36:D46)</f>
        <v>200200</v>
      </c>
      <c r="E47" s="398">
        <f>SUM(E36:E46)</f>
        <v>292400</v>
      </c>
      <c r="F47" s="398">
        <f>SUM(F36:F46)</f>
        <v>562600</v>
      </c>
      <c r="G47" s="398">
        <f>SUM(G36:G46)</f>
        <v>529200</v>
      </c>
      <c r="H47" s="795">
        <v>505200</v>
      </c>
    </row>
    <row r="48" spans="1:8" ht="15" customHeight="1" x14ac:dyDescent="0.25">
      <c r="A48" s="429" t="s">
        <v>88</v>
      </c>
      <c r="B48" s="362"/>
      <c r="C48" s="430"/>
      <c r="D48" s="363"/>
      <c r="E48" s="430"/>
      <c r="F48" s="363"/>
      <c r="G48" s="431">
        <v>0</v>
      </c>
      <c r="H48" s="371"/>
    </row>
    <row r="49" spans="1:8" ht="15" customHeight="1" x14ac:dyDescent="0.25">
      <c r="A49" s="396" t="s">
        <v>112</v>
      </c>
      <c r="B49" s="436"/>
      <c r="C49" s="398">
        <f>SUM(C48:C48)</f>
        <v>0</v>
      </c>
      <c r="D49" s="398">
        <f>SUM(D48:D48)</f>
        <v>0</v>
      </c>
      <c r="E49" s="398">
        <f>SUM(E48:E48)</f>
        <v>0</v>
      </c>
      <c r="F49" s="398">
        <f>SUM(F48:F48)</f>
        <v>0</v>
      </c>
      <c r="G49" s="398">
        <f>SUM(G48:G48)</f>
        <v>0</v>
      </c>
      <c r="H49" s="16"/>
    </row>
    <row r="50" spans="1:8" ht="15" customHeight="1" x14ac:dyDescent="0.25">
      <c r="A50" s="419" t="s">
        <v>113</v>
      </c>
      <c r="B50" s="437"/>
      <c r="C50" s="421">
        <f>C34+C47+C49</f>
        <v>2528071.2400000002</v>
      </c>
      <c r="D50" s="421">
        <f>D34+D47+D49</f>
        <v>1156639.23</v>
      </c>
      <c r="E50" s="421">
        <f>E34+E47+E49</f>
        <v>1397334.618</v>
      </c>
      <c r="F50" s="421">
        <f>F34+F47+F49</f>
        <v>2623973.8480000002</v>
      </c>
      <c r="G50" s="421">
        <f>G34+G47+G49</f>
        <v>2680695.9280000003</v>
      </c>
      <c r="H50" s="16"/>
    </row>
    <row r="51" spans="1:8" ht="15" customHeight="1"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ht="38.25" customHeight="1"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353"/>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57" fitToHeight="0" orientation="portrait" horizontalDpi="360" verticalDpi="360" r:id="rId1"/>
  <headerFooter scaleWithDoc="0">
    <oddFooter>&amp;C&amp;"Candara,Regular"&amp;10Page &amp;"Candara,Bold"&amp;P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98"/>
  <sheetViews>
    <sheetView view="pageBreakPreview" zoomScale="145" zoomScaleNormal="175" zoomScaleSheetLayoutView="145" workbookViewId="0">
      <selection activeCell="C40" sqref="C40"/>
    </sheetView>
  </sheetViews>
  <sheetFormatPr defaultRowHeight="15" x14ac:dyDescent="0.25"/>
  <cols>
    <col min="1" max="1" width="8.85546875" bestFit="1" customWidth="1"/>
    <col min="2" max="2" width="9.5703125" style="2" bestFit="1" customWidth="1"/>
  </cols>
  <sheetData>
    <row r="1" spans="1:13" x14ac:dyDescent="0.25">
      <c r="A1" t="s">
        <v>661</v>
      </c>
      <c r="B1" s="2" t="s">
        <v>662</v>
      </c>
    </row>
    <row r="2" spans="1:13" x14ac:dyDescent="0.25">
      <c r="A2" t="s">
        <v>663</v>
      </c>
      <c r="B2" s="2">
        <v>2000</v>
      </c>
    </row>
    <row r="3" spans="1:13" x14ac:dyDescent="0.25">
      <c r="A3" t="s">
        <v>664</v>
      </c>
      <c r="B3" s="2">
        <v>6000</v>
      </c>
    </row>
    <row r="4" spans="1:13" x14ac:dyDescent="0.25">
      <c r="A4" t="s">
        <v>665</v>
      </c>
      <c r="B4" s="2">
        <v>5000</v>
      </c>
    </row>
    <row r="5" spans="1:13" x14ac:dyDescent="0.25">
      <c r="A5" t="s">
        <v>667</v>
      </c>
      <c r="B5" s="2">
        <v>150</v>
      </c>
    </row>
    <row r="6" spans="1:13" x14ac:dyDescent="0.25">
      <c r="A6" s="16" t="s">
        <v>666</v>
      </c>
      <c r="B6" s="402">
        <v>150</v>
      </c>
      <c r="C6" s="16"/>
      <c r="D6" s="16"/>
      <c r="E6" s="16"/>
      <c r="F6" s="16"/>
      <c r="G6" s="16"/>
      <c r="H6" s="16"/>
      <c r="I6" s="16"/>
      <c r="J6" s="16"/>
      <c r="K6" s="16"/>
      <c r="L6" s="16"/>
      <c r="M6" s="16"/>
    </row>
    <row r="7" spans="1:13" x14ac:dyDescent="0.25">
      <c r="A7" s="16" t="s">
        <v>668</v>
      </c>
      <c r="B7" s="402">
        <v>5000</v>
      </c>
      <c r="C7" s="16"/>
      <c r="D7" s="16"/>
      <c r="E7" s="16"/>
      <c r="F7" s="16"/>
      <c r="G7" s="16"/>
      <c r="H7" s="16"/>
      <c r="I7" s="16"/>
      <c r="J7" s="16"/>
      <c r="K7" s="16"/>
      <c r="L7" s="16"/>
      <c r="M7" s="16"/>
    </row>
    <row r="8" spans="1:13" x14ac:dyDescent="0.25">
      <c r="A8" s="16" t="s">
        <v>669</v>
      </c>
      <c r="B8" s="402">
        <v>5000</v>
      </c>
      <c r="C8" s="16"/>
      <c r="D8" s="16"/>
      <c r="E8" s="16"/>
      <c r="F8" s="16"/>
      <c r="G8" s="16"/>
      <c r="H8" s="16"/>
      <c r="I8" s="16"/>
      <c r="J8" s="16"/>
      <c r="K8" s="16"/>
      <c r="L8" s="16"/>
      <c r="M8" s="16"/>
    </row>
    <row r="9" spans="1:13" x14ac:dyDescent="0.25">
      <c r="A9" s="16"/>
      <c r="B9" s="402"/>
      <c r="C9" s="16"/>
      <c r="D9" s="16"/>
      <c r="E9" s="16"/>
      <c r="F9" s="16"/>
      <c r="G9" s="16"/>
      <c r="H9" s="16"/>
      <c r="I9" s="16"/>
      <c r="J9" s="16"/>
      <c r="K9" s="16"/>
      <c r="L9" s="16"/>
      <c r="M9" s="16"/>
    </row>
    <row r="10" spans="1:13" x14ac:dyDescent="0.25">
      <c r="A10" s="16"/>
      <c r="B10" s="402"/>
      <c r="C10" s="16"/>
      <c r="D10" s="16"/>
      <c r="E10" s="16"/>
      <c r="F10" s="16"/>
      <c r="G10" s="16"/>
      <c r="H10" s="16"/>
      <c r="I10" s="16"/>
      <c r="J10" s="16"/>
      <c r="K10" s="16"/>
      <c r="L10" s="16"/>
      <c r="M10" s="16"/>
    </row>
    <row r="11" spans="1:13" x14ac:dyDescent="0.25">
      <c r="A11" s="16"/>
      <c r="B11" s="402"/>
      <c r="C11" s="16"/>
      <c r="D11" s="16"/>
      <c r="E11" s="16"/>
      <c r="F11" s="16"/>
      <c r="G11" s="16"/>
      <c r="H11" s="16"/>
      <c r="I11" s="16"/>
      <c r="J11" s="16"/>
      <c r="K11" s="16"/>
      <c r="L11" s="16"/>
      <c r="M11" s="16"/>
    </row>
    <row r="12" spans="1:13" x14ac:dyDescent="0.25">
      <c r="A12" s="16"/>
      <c r="B12" s="402"/>
      <c r="C12" s="16"/>
      <c r="D12" s="16"/>
      <c r="E12" s="16"/>
      <c r="F12" s="16"/>
      <c r="G12" s="16"/>
      <c r="H12" s="16"/>
      <c r="I12" s="16"/>
      <c r="J12" s="16"/>
      <c r="K12" s="16"/>
      <c r="L12" s="16"/>
      <c r="M12" s="16"/>
    </row>
    <row r="13" spans="1:13" x14ac:dyDescent="0.25">
      <c r="A13" s="16"/>
      <c r="B13" s="402"/>
      <c r="C13" s="16"/>
      <c r="D13" s="16"/>
      <c r="E13" s="16"/>
      <c r="F13" s="16"/>
      <c r="G13" s="16"/>
      <c r="H13" s="16"/>
      <c r="I13" s="16"/>
      <c r="J13" s="16"/>
      <c r="K13" s="16"/>
      <c r="L13" s="16"/>
      <c r="M13" s="16"/>
    </row>
    <row r="14" spans="1:13" x14ac:dyDescent="0.25">
      <c r="A14" s="16"/>
      <c r="B14" s="402"/>
      <c r="C14" s="16"/>
      <c r="D14" s="16"/>
      <c r="E14" s="16"/>
      <c r="F14" s="16"/>
      <c r="G14" s="16"/>
      <c r="H14" s="16"/>
      <c r="I14" s="16"/>
      <c r="J14" s="16"/>
      <c r="K14" s="16"/>
      <c r="L14" s="16"/>
      <c r="M14" s="16"/>
    </row>
    <row r="15" spans="1:13" x14ac:dyDescent="0.25">
      <c r="A15" s="16"/>
      <c r="B15" s="402"/>
      <c r="C15" s="16"/>
      <c r="D15" s="16"/>
      <c r="E15" s="16"/>
      <c r="F15" s="16"/>
      <c r="G15" s="16"/>
      <c r="H15" s="16"/>
      <c r="I15" s="16"/>
      <c r="J15" s="16"/>
      <c r="K15" s="16"/>
      <c r="L15" s="16"/>
      <c r="M15" s="16"/>
    </row>
    <row r="16" spans="1:13" x14ac:dyDescent="0.25">
      <c r="A16" s="16"/>
      <c r="B16" s="402"/>
      <c r="C16" s="16"/>
      <c r="D16" s="16"/>
      <c r="E16" s="16"/>
      <c r="F16" s="16"/>
      <c r="G16" s="16"/>
      <c r="H16" s="16"/>
      <c r="I16" s="16"/>
      <c r="J16" s="16"/>
      <c r="K16" s="16"/>
      <c r="L16" s="16"/>
      <c r="M16" s="16"/>
    </row>
    <row r="17" spans="1:13" x14ac:dyDescent="0.25">
      <c r="A17" s="16"/>
      <c r="B17" s="402"/>
      <c r="C17" s="16"/>
      <c r="D17" s="16"/>
      <c r="E17" s="16"/>
      <c r="F17" s="16"/>
      <c r="G17" s="16"/>
      <c r="H17" s="16"/>
      <c r="I17" s="16"/>
      <c r="J17" s="16"/>
      <c r="K17" s="16"/>
      <c r="L17" s="16"/>
      <c r="M17" s="16"/>
    </row>
    <row r="18" spans="1:13" x14ac:dyDescent="0.25">
      <c r="A18" s="16"/>
      <c r="B18" s="402"/>
      <c r="C18" s="16"/>
      <c r="D18" s="16"/>
      <c r="E18" s="16"/>
      <c r="F18" s="16"/>
      <c r="G18" s="16"/>
      <c r="H18" s="16"/>
      <c r="I18" s="16"/>
      <c r="J18" s="16"/>
      <c r="K18" s="16"/>
      <c r="L18" s="16"/>
      <c r="M18" s="16"/>
    </row>
    <row r="19" spans="1:13" x14ac:dyDescent="0.25">
      <c r="A19" s="16"/>
      <c r="B19" s="402"/>
      <c r="C19" s="16"/>
      <c r="D19" s="16"/>
      <c r="E19" s="16"/>
      <c r="F19" s="16"/>
      <c r="G19" s="16"/>
      <c r="H19" s="16"/>
      <c r="I19" s="16"/>
      <c r="J19" s="16"/>
      <c r="K19" s="16"/>
      <c r="L19" s="16"/>
      <c r="M19" s="16"/>
    </row>
    <row r="20" spans="1:13" x14ac:dyDescent="0.25">
      <c r="A20" s="16"/>
      <c r="B20" s="402"/>
      <c r="C20" s="16"/>
      <c r="D20" s="16"/>
      <c r="E20" s="16"/>
      <c r="F20" s="16"/>
      <c r="G20" s="16"/>
      <c r="H20" s="16"/>
      <c r="I20" s="16"/>
      <c r="J20" s="16"/>
      <c r="K20" s="16"/>
      <c r="L20" s="16"/>
      <c r="M20" s="16"/>
    </row>
    <row r="21" spans="1:13" x14ac:dyDescent="0.25">
      <c r="A21" s="16"/>
      <c r="B21" s="402"/>
      <c r="C21" s="16"/>
      <c r="D21" s="16"/>
      <c r="E21" s="16"/>
      <c r="F21" s="16"/>
      <c r="G21" s="16"/>
      <c r="H21" s="16"/>
      <c r="I21" s="16"/>
      <c r="J21" s="16"/>
      <c r="K21" s="16"/>
      <c r="L21" s="16"/>
      <c r="M21" s="16"/>
    </row>
    <row r="22" spans="1:13" x14ac:dyDescent="0.25">
      <c r="A22" s="16"/>
      <c r="B22" s="402"/>
      <c r="C22" s="16"/>
      <c r="D22" s="16"/>
      <c r="E22" s="16"/>
      <c r="F22" s="16"/>
      <c r="G22" s="16"/>
      <c r="H22" s="16"/>
      <c r="I22" s="16"/>
      <c r="J22" s="16"/>
      <c r="K22" s="16"/>
      <c r="L22" s="16"/>
      <c r="M22" s="16"/>
    </row>
    <row r="23" spans="1:13" x14ac:dyDescent="0.25">
      <c r="A23" s="16"/>
      <c r="B23" s="402"/>
      <c r="C23" s="16"/>
      <c r="D23" s="16"/>
      <c r="E23" s="16"/>
      <c r="F23" s="16"/>
      <c r="G23" s="16"/>
      <c r="H23" s="16"/>
      <c r="I23" s="16"/>
      <c r="J23" s="16"/>
      <c r="K23" s="16"/>
      <c r="L23" s="16"/>
      <c r="M23" s="16"/>
    </row>
    <row r="24" spans="1:13" x14ac:dyDescent="0.25">
      <c r="A24" s="16"/>
      <c r="B24" s="402"/>
      <c r="C24" s="16"/>
      <c r="D24" s="16"/>
      <c r="E24" s="16"/>
      <c r="F24" s="16"/>
      <c r="G24" s="16"/>
      <c r="H24" s="16"/>
      <c r="I24" s="16"/>
      <c r="J24" s="16"/>
      <c r="K24" s="16"/>
      <c r="L24" s="16"/>
      <c r="M24" s="16"/>
    </row>
    <row r="25" spans="1:13" x14ac:dyDescent="0.25">
      <c r="A25" s="16"/>
      <c r="B25" s="402"/>
      <c r="C25" s="16"/>
      <c r="D25" s="16"/>
      <c r="E25" s="16"/>
      <c r="F25" s="16"/>
      <c r="G25" s="16"/>
      <c r="H25" s="16"/>
      <c r="I25" s="16"/>
      <c r="J25" s="16"/>
      <c r="K25" s="16"/>
      <c r="L25" s="16"/>
      <c r="M25" s="16"/>
    </row>
    <row r="26" spans="1:13" x14ac:dyDescent="0.25">
      <c r="A26" s="16"/>
      <c r="B26" s="402"/>
      <c r="C26" s="16"/>
      <c r="D26" s="16"/>
      <c r="E26" s="16"/>
      <c r="F26" s="16"/>
      <c r="G26" s="16"/>
      <c r="H26" s="16"/>
      <c r="I26" s="16"/>
      <c r="J26" s="16"/>
      <c r="K26" s="16"/>
      <c r="L26" s="16"/>
      <c r="M26" s="16"/>
    </row>
    <row r="27" spans="1:13" x14ac:dyDescent="0.25">
      <c r="A27" s="16"/>
      <c r="B27" s="402"/>
      <c r="C27" s="16"/>
      <c r="D27" s="16"/>
      <c r="E27" s="16"/>
      <c r="F27" s="16"/>
      <c r="G27" s="16"/>
      <c r="H27" s="16"/>
      <c r="I27" s="16"/>
      <c r="J27" s="16"/>
      <c r="K27" s="16"/>
      <c r="L27" s="16"/>
      <c r="M27" s="16"/>
    </row>
    <row r="28" spans="1:13" x14ac:dyDescent="0.25">
      <c r="A28" s="16"/>
      <c r="B28" s="402"/>
      <c r="C28" s="16"/>
      <c r="D28" s="16"/>
      <c r="E28" s="16"/>
      <c r="F28" s="16"/>
      <c r="G28" s="16"/>
      <c r="H28" s="16"/>
      <c r="I28" s="16"/>
      <c r="J28" s="16"/>
      <c r="K28" s="16"/>
      <c r="L28" s="16"/>
      <c r="M28" s="16"/>
    </row>
    <row r="29" spans="1:13" x14ac:dyDescent="0.25">
      <c r="A29" s="16"/>
      <c r="B29" s="402"/>
      <c r="C29" s="16"/>
      <c r="D29" s="16"/>
      <c r="E29" s="16"/>
      <c r="F29" s="16"/>
      <c r="G29" s="16"/>
      <c r="H29" s="16"/>
      <c r="I29" s="16"/>
      <c r="J29" s="16"/>
      <c r="K29" s="16"/>
      <c r="L29" s="16"/>
      <c r="M29" s="16"/>
    </row>
    <row r="30" spans="1:13" x14ac:dyDescent="0.25">
      <c r="A30" s="16"/>
      <c r="B30" s="402"/>
      <c r="C30" s="16"/>
      <c r="D30" s="16"/>
      <c r="E30" s="16"/>
      <c r="F30" s="16"/>
      <c r="G30" s="16"/>
      <c r="H30" s="16"/>
      <c r="I30" s="16"/>
      <c r="J30" s="16"/>
      <c r="K30" s="16"/>
      <c r="L30" s="16"/>
      <c r="M30" s="16"/>
    </row>
    <row r="31" spans="1:13" x14ac:dyDescent="0.25">
      <c r="A31" s="16"/>
      <c r="B31" s="402"/>
      <c r="C31" s="16"/>
      <c r="D31" s="16"/>
      <c r="E31" s="16"/>
      <c r="F31" s="16"/>
      <c r="G31" s="16"/>
      <c r="H31" s="16"/>
      <c r="I31" s="16"/>
      <c r="J31" s="16"/>
      <c r="K31" s="16"/>
      <c r="L31" s="16"/>
      <c r="M31" s="16"/>
    </row>
    <row r="32" spans="1:13" x14ac:dyDescent="0.25">
      <c r="A32" s="16"/>
      <c r="B32" s="402"/>
      <c r="C32" s="16"/>
      <c r="D32" s="16"/>
      <c r="E32" s="16"/>
      <c r="F32" s="16"/>
      <c r="G32" s="16"/>
      <c r="H32" s="16"/>
      <c r="I32" s="16"/>
      <c r="J32" s="16"/>
      <c r="K32" s="16"/>
      <c r="L32" s="16"/>
      <c r="M32" s="16"/>
    </row>
    <row r="33" spans="1:13" x14ac:dyDescent="0.25">
      <c r="A33" s="16"/>
      <c r="B33" s="402"/>
      <c r="C33" s="16"/>
      <c r="D33" s="16"/>
      <c r="E33" s="16"/>
      <c r="F33" s="16"/>
      <c r="G33" s="16"/>
      <c r="H33" s="16"/>
      <c r="I33" s="16"/>
      <c r="J33" s="16"/>
      <c r="K33" s="16"/>
      <c r="L33" s="16"/>
      <c r="M33" s="16"/>
    </row>
    <row r="34" spans="1:13" x14ac:dyDescent="0.25">
      <c r="A34" s="16"/>
      <c r="B34" s="402"/>
      <c r="C34" s="16"/>
      <c r="D34" s="16"/>
      <c r="E34" s="16"/>
      <c r="F34" s="16"/>
      <c r="G34" s="16"/>
      <c r="H34" s="16"/>
      <c r="I34" s="16"/>
      <c r="J34" s="16"/>
      <c r="K34" s="16"/>
      <c r="L34" s="16"/>
      <c r="M34" s="16"/>
    </row>
    <row r="35" spans="1:13" x14ac:dyDescent="0.25">
      <c r="A35" s="16"/>
      <c r="B35" s="402"/>
      <c r="C35" s="16"/>
      <c r="D35" s="16"/>
      <c r="E35" s="16"/>
      <c r="F35" s="16"/>
      <c r="G35" s="16"/>
      <c r="H35" s="16"/>
      <c r="I35" s="16"/>
      <c r="J35" s="16"/>
      <c r="K35" s="16"/>
      <c r="L35" s="16"/>
      <c r="M35" s="16"/>
    </row>
    <row r="36" spans="1:13" x14ac:dyDescent="0.25">
      <c r="A36" s="16"/>
      <c r="B36" s="402"/>
      <c r="C36" s="16"/>
      <c r="D36" s="16"/>
      <c r="E36" s="16"/>
      <c r="F36" s="16"/>
      <c r="G36" s="16"/>
      <c r="H36" s="16"/>
      <c r="I36" s="16"/>
      <c r="J36" s="16"/>
      <c r="K36" s="16"/>
      <c r="L36" s="16"/>
      <c r="M36" s="16"/>
    </row>
    <row r="37" spans="1:13" x14ac:dyDescent="0.25">
      <c r="A37" s="16"/>
      <c r="B37" s="402"/>
      <c r="C37" s="16"/>
      <c r="D37" s="16"/>
      <c r="E37" s="16"/>
      <c r="F37" s="16"/>
      <c r="G37" s="16"/>
      <c r="H37" s="16"/>
      <c r="I37" s="16"/>
      <c r="J37" s="16"/>
      <c r="K37" s="16"/>
      <c r="L37" s="16"/>
      <c r="M37" s="16"/>
    </row>
    <row r="38" spans="1:13" x14ac:dyDescent="0.25">
      <c r="A38" s="16"/>
      <c r="B38" s="402"/>
      <c r="C38" s="16"/>
      <c r="D38" s="16"/>
      <c r="E38" s="16"/>
      <c r="F38" s="16"/>
      <c r="G38" s="16"/>
      <c r="H38" s="16"/>
      <c r="I38" s="16"/>
      <c r="J38" s="16"/>
      <c r="K38" s="16"/>
      <c r="L38" s="16"/>
      <c r="M38" s="16"/>
    </row>
    <row r="39" spans="1:13" x14ac:dyDescent="0.25">
      <c r="A39" s="16"/>
      <c r="B39" s="402"/>
      <c r="C39" s="16"/>
      <c r="D39" s="16"/>
      <c r="E39" s="16"/>
      <c r="F39" s="16"/>
      <c r="G39" s="16"/>
      <c r="H39" s="16"/>
      <c r="I39" s="16"/>
      <c r="J39" s="16"/>
      <c r="K39" s="16"/>
      <c r="L39" s="16"/>
      <c r="M39" s="16"/>
    </row>
    <row r="40" spans="1:13" x14ac:dyDescent="0.25">
      <c r="A40" s="16"/>
      <c r="B40" s="402"/>
      <c r="C40" s="16"/>
      <c r="D40" s="16"/>
      <c r="E40" s="16"/>
      <c r="F40" s="16"/>
      <c r="G40" s="16"/>
      <c r="H40" s="16"/>
      <c r="I40" s="16"/>
      <c r="J40" s="16"/>
      <c r="K40" s="16"/>
      <c r="L40" s="16"/>
      <c r="M40" s="16"/>
    </row>
    <row r="41" spans="1:13" x14ac:dyDescent="0.25">
      <c r="A41" s="16"/>
      <c r="B41" s="402"/>
      <c r="C41" s="16"/>
      <c r="D41" s="16"/>
      <c r="E41" s="16"/>
      <c r="F41" s="16"/>
      <c r="G41" s="16"/>
      <c r="H41" s="16"/>
      <c r="I41" s="16"/>
      <c r="J41" s="16"/>
      <c r="K41" s="16"/>
      <c r="L41" s="16"/>
      <c r="M41" s="16"/>
    </row>
    <row r="42" spans="1:13" x14ac:dyDescent="0.25">
      <c r="A42" s="16"/>
      <c r="B42" s="402"/>
      <c r="C42" s="16"/>
      <c r="D42" s="16"/>
      <c r="E42" s="16"/>
      <c r="F42" s="16"/>
      <c r="G42" s="16"/>
      <c r="H42" s="16"/>
      <c r="I42" s="16"/>
      <c r="J42" s="16"/>
      <c r="K42" s="16"/>
      <c r="L42" s="16"/>
      <c r="M42" s="16"/>
    </row>
    <row r="43" spans="1:13" x14ac:dyDescent="0.25">
      <c r="A43" s="16"/>
      <c r="B43" s="402"/>
      <c r="C43" s="16"/>
      <c r="D43" s="16"/>
      <c r="E43" s="16"/>
      <c r="F43" s="16"/>
      <c r="G43" s="16"/>
      <c r="H43" s="16"/>
      <c r="I43" s="16"/>
      <c r="J43" s="16"/>
      <c r="K43" s="16"/>
      <c r="L43" s="16"/>
      <c r="M43" s="16"/>
    </row>
    <row r="44" spans="1:13" x14ac:dyDescent="0.25">
      <c r="A44" s="16"/>
      <c r="B44" s="402"/>
      <c r="C44" s="16"/>
      <c r="D44" s="16"/>
      <c r="E44" s="16"/>
      <c r="F44" s="16"/>
      <c r="G44" s="16"/>
      <c r="H44" s="16"/>
      <c r="I44" s="16"/>
      <c r="J44" s="16"/>
      <c r="K44" s="16"/>
      <c r="L44" s="16"/>
      <c r="M44" s="16"/>
    </row>
    <row r="45" spans="1:13" x14ac:dyDescent="0.25">
      <c r="A45" s="16"/>
      <c r="B45" s="402"/>
      <c r="C45" s="16"/>
      <c r="D45" s="16"/>
      <c r="E45" s="16"/>
      <c r="F45" s="16"/>
      <c r="G45" s="16"/>
      <c r="H45" s="16"/>
      <c r="I45" s="16"/>
      <c r="J45" s="16"/>
      <c r="K45" s="16"/>
      <c r="L45" s="16"/>
      <c r="M45" s="16"/>
    </row>
    <row r="46" spans="1:13" x14ac:dyDescent="0.25">
      <c r="A46" s="16"/>
      <c r="B46" s="402"/>
      <c r="C46" s="16"/>
      <c r="D46" s="16"/>
      <c r="E46" s="16"/>
      <c r="F46" s="16"/>
      <c r="G46" s="16"/>
      <c r="H46" s="16"/>
      <c r="I46" s="16"/>
      <c r="J46" s="16"/>
      <c r="K46" s="16"/>
      <c r="L46" s="16"/>
      <c r="M46" s="16"/>
    </row>
    <row r="47" spans="1:13" x14ac:dyDescent="0.25">
      <c r="A47" s="16"/>
      <c r="B47" s="402"/>
      <c r="C47" s="16"/>
      <c r="D47" s="16"/>
      <c r="E47" s="16"/>
      <c r="F47" s="16"/>
      <c r="G47" s="16"/>
      <c r="H47" s="16"/>
      <c r="I47" s="16"/>
      <c r="J47" s="16"/>
      <c r="K47" s="16"/>
      <c r="L47" s="16"/>
      <c r="M47" s="16"/>
    </row>
    <row r="48" spans="1:13" x14ac:dyDescent="0.25">
      <c r="A48" s="16"/>
      <c r="B48" s="402"/>
      <c r="C48" s="16"/>
      <c r="D48" s="16"/>
      <c r="E48" s="16"/>
      <c r="F48" s="16"/>
      <c r="G48" s="16"/>
      <c r="H48" s="16"/>
      <c r="I48" s="16"/>
      <c r="J48" s="16"/>
      <c r="K48" s="16"/>
      <c r="L48" s="16"/>
      <c r="M48" s="16"/>
    </row>
    <row r="49" spans="1:13" x14ac:dyDescent="0.25">
      <c r="A49" s="16"/>
      <c r="B49" s="402"/>
      <c r="C49" s="16"/>
      <c r="D49" s="16"/>
      <c r="E49" s="16"/>
      <c r="F49" s="16"/>
      <c r="G49" s="16"/>
      <c r="H49" s="16"/>
      <c r="I49" s="16"/>
      <c r="J49" s="16"/>
      <c r="K49" s="16"/>
      <c r="L49" s="16"/>
      <c r="M49" s="16"/>
    </row>
    <row r="50" spans="1:13" x14ac:dyDescent="0.25">
      <c r="A50" s="16"/>
      <c r="B50" s="402"/>
      <c r="C50" s="16"/>
      <c r="D50" s="16"/>
      <c r="E50" s="16"/>
      <c r="F50" s="16"/>
      <c r="G50" s="16"/>
      <c r="H50" s="16"/>
      <c r="I50" s="16"/>
      <c r="J50" s="16"/>
      <c r="K50" s="16"/>
      <c r="L50" s="16"/>
      <c r="M50" s="16"/>
    </row>
    <row r="51" spans="1:13" x14ac:dyDescent="0.25">
      <c r="A51" s="16"/>
      <c r="B51" s="402"/>
      <c r="C51" s="16"/>
      <c r="D51" s="16"/>
      <c r="E51" s="16"/>
      <c r="F51" s="16"/>
      <c r="G51" s="16"/>
      <c r="H51" s="16"/>
      <c r="I51" s="16"/>
      <c r="J51" s="16"/>
      <c r="K51" s="16"/>
      <c r="L51" s="16"/>
      <c r="M51" s="16"/>
    </row>
    <row r="52" spans="1:13" x14ac:dyDescent="0.25">
      <c r="A52" s="16"/>
      <c r="B52" s="402"/>
      <c r="C52" s="16"/>
      <c r="D52" s="16"/>
      <c r="E52" s="16"/>
      <c r="F52" s="16"/>
      <c r="G52" s="16"/>
      <c r="H52" s="16"/>
      <c r="I52" s="16"/>
      <c r="J52" s="16"/>
      <c r="K52" s="16"/>
      <c r="L52" s="16"/>
      <c r="M52" s="16"/>
    </row>
    <row r="53" spans="1:13" x14ac:dyDescent="0.25">
      <c r="A53" s="16"/>
      <c r="B53" s="402"/>
      <c r="C53" s="16"/>
      <c r="D53" s="16"/>
      <c r="E53" s="16"/>
      <c r="F53" s="16"/>
      <c r="G53" s="16"/>
      <c r="H53" s="16"/>
      <c r="I53" s="16"/>
      <c r="J53" s="16"/>
      <c r="K53" s="16"/>
      <c r="L53" s="16"/>
      <c r="M53" s="16"/>
    </row>
    <row r="54" spans="1:13" x14ac:dyDescent="0.25">
      <c r="A54" s="16"/>
      <c r="B54" s="402"/>
      <c r="C54" s="16"/>
      <c r="D54" s="16"/>
      <c r="E54" s="16"/>
      <c r="F54" s="16"/>
      <c r="G54" s="16"/>
      <c r="H54" s="16"/>
      <c r="I54" s="16"/>
      <c r="J54" s="16"/>
      <c r="K54" s="16"/>
      <c r="L54" s="16"/>
      <c r="M54" s="16"/>
    </row>
    <row r="55" spans="1:13" x14ac:dyDescent="0.25">
      <c r="A55" s="16"/>
      <c r="B55" s="402"/>
      <c r="C55" s="16"/>
      <c r="D55" s="16"/>
      <c r="E55" s="16"/>
      <c r="F55" s="16"/>
      <c r="G55" s="16"/>
      <c r="H55" s="16"/>
      <c r="I55" s="16"/>
      <c r="J55" s="16"/>
      <c r="K55" s="16"/>
      <c r="L55" s="16"/>
      <c r="M55" s="16"/>
    </row>
    <row r="56" spans="1:13" x14ac:dyDescent="0.25">
      <c r="A56" s="16"/>
      <c r="B56" s="402"/>
      <c r="C56" s="16"/>
      <c r="D56" s="16"/>
      <c r="E56" s="16"/>
      <c r="F56" s="16"/>
      <c r="G56" s="16"/>
      <c r="H56" s="16"/>
      <c r="I56" s="16"/>
      <c r="J56" s="16"/>
      <c r="K56" s="16"/>
      <c r="L56" s="16"/>
      <c r="M56" s="16"/>
    </row>
    <row r="57" spans="1:13" x14ac:dyDescent="0.25">
      <c r="A57" s="16"/>
      <c r="B57" s="402"/>
      <c r="C57" s="16"/>
      <c r="D57" s="16"/>
      <c r="E57" s="16"/>
      <c r="F57" s="16"/>
      <c r="G57" s="16"/>
      <c r="H57" s="16"/>
      <c r="I57" s="16"/>
      <c r="J57" s="16"/>
      <c r="K57" s="16"/>
      <c r="L57" s="16"/>
      <c r="M57" s="16"/>
    </row>
    <row r="58" spans="1:13" x14ac:dyDescent="0.25">
      <c r="A58" s="16"/>
      <c r="B58" s="402"/>
      <c r="C58" s="16"/>
      <c r="D58" s="16"/>
      <c r="E58" s="16"/>
      <c r="F58" s="16"/>
      <c r="G58" s="16"/>
      <c r="H58" s="16"/>
      <c r="I58" s="16"/>
      <c r="J58" s="16"/>
      <c r="K58" s="16"/>
      <c r="L58" s="16"/>
      <c r="M58" s="16"/>
    </row>
    <row r="59" spans="1:13" x14ac:dyDescent="0.25">
      <c r="A59" s="16"/>
      <c r="B59" s="402"/>
      <c r="C59" s="16"/>
      <c r="D59" s="16"/>
      <c r="E59" s="16"/>
      <c r="F59" s="16"/>
      <c r="G59" s="16"/>
      <c r="H59" s="16"/>
      <c r="I59" s="16"/>
      <c r="J59" s="16"/>
      <c r="K59" s="16"/>
      <c r="L59" s="16"/>
      <c r="M59" s="16"/>
    </row>
    <row r="60" spans="1:13" x14ac:dyDescent="0.25">
      <c r="A60" s="16"/>
      <c r="B60" s="402"/>
      <c r="C60" s="16"/>
      <c r="D60" s="16"/>
      <c r="E60" s="16"/>
      <c r="F60" s="16"/>
      <c r="G60" s="16"/>
      <c r="H60" s="16"/>
      <c r="I60" s="16"/>
      <c r="J60" s="16"/>
      <c r="K60" s="16"/>
      <c r="L60" s="16"/>
      <c r="M60" s="16"/>
    </row>
    <row r="61" spans="1:13" x14ac:dyDescent="0.25">
      <c r="A61" s="16"/>
      <c r="B61" s="402"/>
      <c r="C61" s="16"/>
      <c r="D61" s="16"/>
      <c r="E61" s="16"/>
      <c r="F61" s="16"/>
      <c r="G61" s="16"/>
      <c r="H61" s="16"/>
      <c r="I61" s="16"/>
      <c r="J61" s="16"/>
      <c r="K61" s="16"/>
      <c r="L61" s="16"/>
      <c r="M61" s="16"/>
    </row>
    <row r="62" spans="1:13" x14ac:dyDescent="0.25">
      <c r="A62" s="16"/>
      <c r="B62" s="402"/>
      <c r="C62" s="16"/>
      <c r="D62" s="16"/>
      <c r="E62" s="16"/>
      <c r="F62" s="16"/>
      <c r="G62" s="16"/>
      <c r="H62" s="16"/>
      <c r="I62" s="16"/>
      <c r="J62" s="16"/>
      <c r="K62" s="16"/>
      <c r="L62" s="16"/>
      <c r="M62" s="16"/>
    </row>
    <row r="63" spans="1:13" x14ac:dyDescent="0.25">
      <c r="A63" s="16"/>
      <c r="B63" s="402"/>
      <c r="C63" s="16"/>
      <c r="D63" s="16"/>
      <c r="E63" s="16"/>
      <c r="F63" s="16"/>
      <c r="G63" s="16"/>
      <c r="H63" s="16"/>
      <c r="I63" s="16"/>
      <c r="J63" s="16"/>
      <c r="K63" s="16"/>
      <c r="L63" s="16"/>
      <c r="M63" s="16"/>
    </row>
    <row r="64" spans="1:13" x14ac:dyDescent="0.25">
      <c r="A64" s="16"/>
      <c r="B64" s="402"/>
      <c r="C64" s="16"/>
      <c r="D64" s="16"/>
      <c r="E64" s="16"/>
      <c r="F64" s="16"/>
      <c r="G64" s="16"/>
      <c r="H64" s="16"/>
      <c r="I64" s="16"/>
      <c r="J64" s="16"/>
      <c r="K64" s="16"/>
      <c r="L64" s="16"/>
      <c r="M64" s="16"/>
    </row>
    <row r="65" spans="1:13" x14ac:dyDescent="0.25">
      <c r="A65" s="16"/>
      <c r="B65" s="402"/>
      <c r="C65" s="16"/>
      <c r="D65" s="16"/>
      <c r="E65" s="16"/>
      <c r="F65" s="16"/>
      <c r="G65" s="16"/>
      <c r="H65" s="16"/>
      <c r="I65" s="16"/>
      <c r="J65" s="16"/>
      <c r="K65" s="16"/>
      <c r="L65" s="16"/>
      <c r="M65" s="16"/>
    </row>
    <row r="66" spans="1:13" x14ac:dyDescent="0.25">
      <c r="A66" s="16"/>
      <c r="B66" s="402"/>
      <c r="C66" s="16"/>
      <c r="D66" s="16"/>
      <c r="E66" s="16"/>
      <c r="F66" s="16"/>
      <c r="G66" s="16"/>
      <c r="H66" s="16"/>
      <c r="I66" s="16"/>
      <c r="J66" s="16"/>
      <c r="K66" s="16"/>
      <c r="L66" s="16"/>
      <c r="M66" s="16"/>
    </row>
    <row r="67" spans="1:13" x14ac:dyDescent="0.25">
      <c r="A67" s="16"/>
      <c r="B67" s="402"/>
      <c r="C67" s="16"/>
      <c r="D67" s="16"/>
      <c r="E67" s="16"/>
      <c r="F67" s="16"/>
      <c r="G67" s="16"/>
      <c r="H67" s="16"/>
      <c r="I67" s="16"/>
      <c r="J67" s="16"/>
      <c r="K67" s="16"/>
      <c r="L67" s="16"/>
      <c r="M67" s="16"/>
    </row>
    <row r="68" spans="1:13" x14ac:dyDescent="0.25">
      <c r="A68" s="16"/>
      <c r="B68" s="402"/>
      <c r="C68" s="16"/>
      <c r="D68" s="16"/>
      <c r="E68" s="16"/>
      <c r="F68" s="16"/>
      <c r="G68" s="16"/>
      <c r="H68" s="16"/>
      <c r="I68" s="16"/>
      <c r="J68" s="16"/>
      <c r="K68" s="16"/>
      <c r="L68" s="16"/>
      <c r="M68" s="16"/>
    </row>
    <row r="69" spans="1:13" x14ac:dyDescent="0.25">
      <c r="A69" s="16"/>
      <c r="B69" s="402"/>
      <c r="C69" s="16"/>
      <c r="D69" s="16"/>
      <c r="E69" s="16"/>
      <c r="F69" s="16"/>
      <c r="G69" s="16"/>
      <c r="H69" s="16"/>
      <c r="I69" s="16"/>
      <c r="J69" s="16"/>
      <c r="K69" s="16"/>
      <c r="L69" s="16"/>
      <c r="M69" s="16"/>
    </row>
    <row r="70" spans="1:13" x14ac:dyDescent="0.25">
      <c r="A70" s="16"/>
      <c r="B70" s="402"/>
      <c r="C70" s="16"/>
      <c r="D70" s="16"/>
      <c r="E70" s="16"/>
      <c r="F70" s="16"/>
      <c r="G70" s="16"/>
      <c r="H70" s="16"/>
      <c r="I70" s="16"/>
      <c r="J70" s="16"/>
      <c r="K70" s="16"/>
      <c r="L70" s="16"/>
      <c r="M70" s="16"/>
    </row>
    <row r="71" spans="1:13" x14ac:dyDescent="0.25">
      <c r="A71" s="16"/>
      <c r="B71" s="402"/>
      <c r="C71" s="16"/>
      <c r="D71" s="16"/>
      <c r="E71" s="16"/>
      <c r="F71" s="16"/>
      <c r="G71" s="16"/>
      <c r="H71" s="16"/>
      <c r="I71" s="16"/>
      <c r="J71" s="16"/>
      <c r="K71" s="16"/>
      <c r="L71" s="16"/>
      <c r="M71" s="16"/>
    </row>
    <row r="72" spans="1:13" x14ac:dyDescent="0.25">
      <c r="A72" s="16"/>
      <c r="B72" s="402"/>
      <c r="C72" s="16"/>
      <c r="D72" s="16"/>
      <c r="E72" s="16"/>
      <c r="F72" s="16"/>
      <c r="G72" s="16"/>
      <c r="H72" s="16"/>
      <c r="I72" s="16"/>
      <c r="J72" s="16"/>
      <c r="K72" s="16"/>
      <c r="L72" s="16"/>
      <c r="M72" s="16"/>
    </row>
    <row r="73" spans="1:13" x14ac:dyDescent="0.25">
      <c r="A73" s="16"/>
      <c r="B73" s="402"/>
      <c r="C73" s="16"/>
      <c r="D73" s="16"/>
      <c r="E73" s="16"/>
      <c r="F73" s="16"/>
      <c r="G73" s="16"/>
      <c r="H73" s="16"/>
      <c r="I73" s="16"/>
      <c r="J73" s="16"/>
      <c r="K73" s="16"/>
      <c r="L73" s="16"/>
      <c r="M73" s="16"/>
    </row>
    <row r="74" spans="1:13" x14ac:dyDescent="0.25">
      <c r="A74" s="16"/>
      <c r="B74" s="402"/>
      <c r="C74" s="16"/>
      <c r="D74" s="16"/>
      <c r="E74" s="16"/>
      <c r="F74" s="16"/>
      <c r="G74" s="16"/>
      <c r="H74" s="16"/>
      <c r="I74" s="16"/>
      <c r="J74" s="16"/>
      <c r="K74" s="16"/>
      <c r="L74" s="16"/>
      <c r="M74" s="16"/>
    </row>
    <row r="75" spans="1:13" x14ac:dyDescent="0.25">
      <c r="A75" s="16"/>
      <c r="B75" s="402"/>
      <c r="C75" s="16"/>
      <c r="D75" s="16"/>
      <c r="E75" s="16"/>
      <c r="F75" s="16"/>
      <c r="G75" s="16"/>
      <c r="H75" s="16"/>
      <c r="I75" s="16"/>
      <c r="J75" s="16"/>
      <c r="K75" s="16"/>
      <c r="L75" s="16"/>
      <c r="M75" s="16"/>
    </row>
    <row r="76" spans="1:13" x14ac:dyDescent="0.25">
      <c r="A76" s="16"/>
      <c r="B76" s="402"/>
      <c r="C76" s="16"/>
      <c r="D76" s="16"/>
      <c r="E76" s="16"/>
      <c r="F76" s="16"/>
      <c r="G76" s="16"/>
      <c r="H76" s="16"/>
      <c r="I76" s="16"/>
      <c r="J76" s="16"/>
      <c r="K76" s="16"/>
      <c r="L76" s="16"/>
      <c r="M76" s="16"/>
    </row>
    <row r="77" spans="1:13" x14ac:dyDescent="0.25">
      <c r="A77" s="16"/>
      <c r="B77" s="402"/>
      <c r="C77" s="16"/>
      <c r="D77" s="16"/>
      <c r="E77" s="16"/>
      <c r="F77" s="16"/>
      <c r="G77" s="16"/>
      <c r="H77" s="16"/>
      <c r="I77" s="16"/>
      <c r="J77" s="16"/>
      <c r="K77" s="16"/>
      <c r="L77" s="16"/>
      <c r="M77" s="16"/>
    </row>
    <row r="78" spans="1:13" x14ac:dyDescent="0.25">
      <c r="A78" s="16"/>
      <c r="B78" s="402"/>
      <c r="C78" s="16"/>
      <c r="D78" s="16"/>
      <c r="E78" s="16"/>
      <c r="F78" s="16"/>
      <c r="G78" s="16"/>
      <c r="H78" s="16"/>
      <c r="I78" s="16"/>
      <c r="J78" s="16"/>
      <c r="K78" s="16"/>
      <c r="L78" s="16"/>
      <c r="M78" s="16"/>
    </row>
    <row r="79" spans="1:13" x14ac:dyDescent="0.25">
      <c r="A79" s="16"/>
      <c r="B79" s="402"/>
      <c r="C79" s="16"/>
      <c r="D79" s="16"/>
      <c r="E79" s="16"/>
      <c r="F79" s="16"/>
      <c r="G79" s="16"/>
      <c r="H79" s="16"/>
      <c r="I79" s="16"/>
      <c r="J79" s="16"/>
      <c r="K79" s="16"/>
      <c r="L79" s="16"/>
      <c r="M79" s="16"/>
    </row>
    <row r="80" spans="1:13" x14ac:dyDescent="0.25">
      <c r="A80" s="16"/>
      <c r="B80" s="402"/>
      <c r="C80" s="16"/>
      <c r="D80" s="16"/>
      <c r="E80" s="16"/>
      <c r="F80" s="16"/>
      <c r="G80" s="16"/>
      <c r="H80" s="16"/>
      <c r="I80" s="16"/>
      <c r="J80" s="16"/>
      <c r="K80" s="16"/>
      <c r="L80" s="16"/>
      <c r="M80" s="16"/>
    </row>
    <row r="81" spans="1:13" x14ac:dyDescent="0.25">
      <c r="A81" s="16"/>
      <c r="B81" s="402"/>
      <c r="C81" s="16"/>
      <c r="D81" s="16"/>
      <c r="E81" s="16"/>
      <c r="F81" s="16"/>
      <c r="G81" s="16"/>
      <c r="H81" s="16"/>
      <c r="I81" s="16"/>
      <c r="J81" s="16"/>
      <c r="K81" s="16"/>
      <c r="L81" s="16"/>
      <c r="M81" s="16"/>
    </row>
    <row r="82" spans="1:13" x14ac:dyDescent="0.25">
      <c r="A82" s="16"/>
      <c r="B82" s="402"/>
      <c r="C82" s="16"/>
      <c r="D82" s="16"/>
      <c r="E82" s="16"/>
      <c r="F82" s="16"/>
      <c r="G82" s="16"/>
      <c r="H82" s="16"/>
      <c r="I82" s="16"/>
      <c r="J82" s="16"/>
      <c r="K82" s="16"/>
      <c r="L82" s="16"/>
      <c r="M82" s="16"/>
    </row>
    <row r="83" spans="1:13" x14ac:dyDescent="0.25">
      <c r="A83" s="16"/>
      <c r="B83" s="402"/>
      <c r="C83" s="16"/>
      <c r="D83" s="16"/>
      <c r="E83" s="16"/>
      <c r="F83" s="16"/>
      <c r="G83" s="16"/>
      <c r="H83" s="16"/>
      <c r="I83" s="16"/>
      <c r="J83" s="16"/>
      <c r="K83" s="16"/>
      <c r="L83" s="16"/>
      <c r="M83" s="16"/>
    </row>
    <row r="84" spans="1:13" x14ac:dyDescent="0.25">
      <c r="A84" s="16"/>
      <c r="B84" s="402"/>
      <c r="C84" s="16"/>
      <c r="D84" s="16"/>
      <c r="E84" s="16"/>
      <c r="F84" s="16"/>
      <c r="G84" s="16"/>
      <c r="H84" s="16"/>
      <c r="I84" s="16"/>
      <c r="J84" s="16"/>
      <c r="K84" s="16"/>
      <c r="L84" s="16"/>
      <c r="M84" s="16"/>
    </row>
    <row r="85" spans="1:13" x14ac:dyDescent="0.25">
      <c r="A85" s="16"/>
      <c r="B85" s="402"/>
      <c r="C85" s="16"/>
      <c r="D85" s="16"/>
      <c r="E85" s="16"/>
      <c r="F85" s="16"/>
      <c r="G85" s="16"/>
      <c r="H85" s="16"/>
      <c r="I85" s="16"/>
      <c r="J85" s="16"/>
      <c r="K85" s="16"/>
      <c r="L85" s="16"/>
      <c r="M85" s="16"/>
    </row>
    <row r="86" spans="1:13" x14ac:dyDescent="0.25">
      <c r="A86" s="16"/>
      <c r="B86" s="402"/>
      <c r="C86" s="16"/>
      <c r="D86" s="16"/>
      <c r="E86" s="16"/>
      <c r="F86" s="16"/>
      <c r="G86" s="16"/>
      <c r="H86" s="16"/>
      <c r="I86" s="16"/>
      <c r="J86" s="16"/>
      <c r="K86" s="16"/>
      <c r="L86" s="16"/>
      <c r="M86" s="16"/>
    </row>
    <row r="87" spans="1:13" x14ac:dyDescent="0.25">
      <c r="A87" s="16"/>
      <c r="B87" s="402"/>
      <c r="C87" s="16"/>
      <c r="D87" s="16"/>
      <c r="E87" s="16"/>
      <c r="F87" s="16"/>
      <c r="G87" s="16"/>
      <c r="H87" s="16"/>
      <c r="I87" s="16"/>
      <c r="J87" s="16"/>
      <c r="K87" s="16"/>
      <c r="L87" s="16"/>
      <c r="M87" s="16"/>
    </row>
    <row r="88" spans="1:13" x14ac:dyDescent="0.25">
      <c r="A88" s="16"/>
      <c r="B88" s="402"/>
      <c r="C88" s="16"/>
      <c r="D88" s="16"/>
      <c r="E88" s="16"/>
      <c r="F88" s="16"/>
      <c r="G88" s="16"/>
      <c r="H88" s="16"/>
      <c r="I88" s="16"/>
      <c r="J88" s="16"/>
      <c r="K88" s="16"/>
      <c r="L88" s="16"/>
      <c r="M88" s="16"/>
    </row>
    <row r="89" spans="1:13" x14ac:dyDescent="0.25">
      <c r="A89" s="16"/>
      <c r="B89" s="402"/>
      <c r="C89" s="16"/>
      <c r="D89" s="16"/>
      <c r="E89" s="16"/>
      <c r="F89" s="16"/>
      <c r="G89" s="16"/>
      <c r="H89" s="16"/>
      <c r="I89" s="16"/>
      <c r="J89" s="16"/>
      <c r="K89" s="16"/>
      <c r="L89" s="16"/>
      <c r="M89" s="16"/>
    </row>
    <row r="90" spans="1:13" ht="38.25" customHeight="1" x14ac:dyDescent="0.25">
      <c r="A90" s="16"/>
      <c r="B90" s="402"/>
      <c r="C90" s="16"/>
      <c r="D90" s="16"/>
      <c r="E90" s="16"/>
      <c r="F90" s="16"/>
      <c r="G90" s="16"/>
      <c r="H90" s="16"/>
      <c r="I90" s="16"/>
      <c r="J90" s="16"/>
      <c r="K90" s="16"/>
      <c r="L90" s="16"/>
      <c r="M90" s="16"/>
    </row>
    <row r="91" spans="1:13" x14ac:dyDescent="0.25">
      <c r="A91" s="16"/>
      <c r="B91" s="402"/>
      <c r="C91" s="16"/>
      <c r="D91" s="16"/>
      <c r="E91" s="16"/>
      <c r="F91" s="16"/>
      <c r="G91" s="16"/>
      <c r="H91" s="16"/>
      <c r="I91" s="16"/>
      <c r="J91" s="16"/>
      <c r="K91" s="16"/>
      <c r="L91" s="16"/>
      <c r="M91" s="16"/>
    </row>
    <row r="92" spans="1:13" x14ac:dyDescent="0.25">
      <c r="A92" s="16"/>
      <c r="B92" s="402"/>
      <c r="C92" s="16"/>
      <c r="D92" s="16"/>
      <c r="E92" s="16"/>
      <c r="F92" s="16"/>
      <c r="G92" s="16"/>
      <c r="H92" s="16"/>
      <c r="I92" s="16"/>
      <c r="J92" s="16"/>
      <c r="K92" s="16"/>
      <c r="L92" s="16"/>
      <c r="M92" s="16"/>
    </row>
    <row r="93" spans="1:13" x14ac:dyDescent="0.25">
      <c r="A93" s="16"/>
      <c r="B93" s="402"/>
      <c r="C93" s="16"/>
      <c r="D93" s="16"/>
      <c r="E93" s="16"/>
      <c r="F93" s="16"/>
      <c r="G93" s="16"/>
      <c r="H93" s="16"/>
      <c r="I93" s="16"/>
      <c r="J93" s="16"/>
      <c r="K93" s="16"/>
      <c r="L93" s="16"/>
      <c r="M93" s="16"/>
    </row>
    <row r="94" spans="1:13" x14ac:dyDescent="0.25">
      <c r="A94" s="16"/>
      <c r="B94" s="402"/>
      <c r="C94" s="16"/>
      <c r="D94" s="16"/>
      <c r="E94" s="16"/>
      <c r="F94" s="16"/>
      <c r="G94" s="16"/>
      <c r="H94" s="16"/>
      <c r="I94" s="16"/>
      <c r="J94" s="16"/>
      <c r="K94" s="16"/>
      <c r="L94" s="16"/>
      <c r="M94" s="16"/>
    </row>
    <row r="95" spans="1:13" x14ac:dyDescent="0.25">
      <c r="A95" s="16"/>
      <c r="B95" s="356"/>
      <c r="C95" s="16"/>
      <c r="D95" s="16"/>
      <c r="E95" s="16"/>
      <c r="F95" s="16"/>
      <c r="G95" s="16"/>
      <c r="H95" s="16"/>
      <c r="I95" s="16"/>
      <c r="J95" s="16"/>
      <c r="K95" s="16"/>
      <c r="L95" s="16"/>
      <c r="M95" s="16"/>
    </row>
    <row r="96" spans="1:13" x14ac:dyDescent="0.25">
      <c r="A96" s="16"/>
      <c r="B96" s="402"/>
      <c r="C96" s="16"/>
      <c r="D96" s="16"/>
      <c r="E96" s="16"/>
      <c r="F96" s="16"/>
      <c r="G96" s="16"/>
      <c r="H96" s="16"/>
      <c r="I96" s="16"/>
      <c r="J96" s="16"/>
      <c r="K96" s="16"/>
      <c r="L96" s="16"/>
      <c r="M96" s="16"/>
    </row>
    <row r="97" spans="1:13" x14ac:dyDescent="0.25">
      <c r="A97" s="16"/>
      <c r="B97" s="402"/>
      <c r="C97" s="16"/>
      <c r="D97" s="16"/>
      <c r="E97" s="16"/>
      <c r="F97" s="16"/>
      <c r="G97" s="16"/>
      <c r="H97" s="16"/>
      <c r="I97" s="16"/>
      <c r="J97" s="16"/>
      <c r="K97" s="16"/>
      <c r="L97" s="16"/>
      <c r="M97" s="16"/>
    </row>
    <row r="98" spans="1:13" x14ac:dyDescent="0.25">
      <c r="A98" s="16"/>
      <c r="B98" s="402"/>
      <c r="C98" s="16"/>
      <c r="D98" s="16"/>
      <c r="E98" s="16"/>
      <c r="F98" s="16"/>
      <c r="G98" s="16"/>
      <c r="H98" s="16"/>
      <c r="I98" s="16"/>
      <c r="J98" s="16"/>
      <c r="K98" s="16"/>
      <c r="L98" s="16"/>
      <c r="M98" s="16"/>
    </row>
  </sheetData>
  <printOptions horizontalCentered="1"/>
  <pageMargins left="0.35433070866141736" right="0.23622047244094491" top="0.74803149606299213" bottom="0.74803149606299213" header="0.31496062992125984" footer="0.31496062992125984"/>
  <pageSetup paperSize="14" fitToHeight="0" orientation="portrait" horizontalDpi="0" verticalDpi="0" r:id="rId1"/>
  <headerFooter scaleWithDoc="0">
    <oddFooter>&amp;C&amp;"Candara,Regular"&amp;10Page &amp;"Candara,Bold"&amp;P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17"/>
  <sheetViews>
    <sheetView view="pageBreakPreview" topLeftCell="A6" zoomScale="115" zoomScaleNormal="130" zoomScaleSheetLayoutView="115" workbookViewId="0">
      <pane xSplit="1" ySplit="3" topLeftCell="B69" activePane="bottomRight" state="frozen"/>
      <selection activeCell="C40" sqref="C40"/>
      <selection pane="topRight" activeCell="C40" sqref="C40"/>
      <selection pane="bottomLeft" activeCell="C40" sqref="C40"/>
      <selection pane="bottomRight" activeCell="A21" sqref="A21"/>
    </sheetView>
  </sheetViews>
  <sheetFormatPr defaultColWidth="9.140625" defaultRowHeight="15" x14ac:dyDescent="0.25"/>
  <cols>
    <col min="1" max="1" width="37.7109375" style="41" customWidth="1"/>
    <col min="2" max="2" width="12.7109375" style="41" customWidth="1"/>
    <col min="3" max="4" width="14.7109375" style="41" customWidth="1"/>
    <col min="5" max="5" width="16" style="41" bestFit="1" customWidth="1"/>
    <col min="6" max="6" width="14.7109375" style="41" customWidth="1"/>
    <col min="7" max="7" width="15.5703125" style="718" bestFit="1" customWidth="1"/>
    <col min="8" max="8" width="16.85546875" style="755" bestFit="1" customWidth="1"/>
    <col min="9" max="9" width="15.5703125" style="49" bestFit="1"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169</v>
      </c>
      <c r="B4" s="1075"/>
      <c r="C4" s="1075"/>
      <c r="D4" s="1075"/>
      <c r="E4" s="1075"/>
      <c r="F4" s="1075"/>
      <c r="G4" s="1075"/>
    </row>
    <row r="6" spans="1:9" s="43" customFormat="1" ht="12" x14ac:dyDescent="0.2">
      <c r="A6" s="1099" t="s">
        <v>1</v>
      </c>
      <c r="B6" s="1099" t="s">
        <v>2</v>
      </c>
      <c r="C6" s="1099" t="s">
        <v>310</v>
      </c>
      <c r="D6" s="1100" t="s">
        <v>307</v>
      </c>
      <c r="E6" s="1100"/>
      <c r="F6" s="1100"/>
      <c r="G6" s="1106" t="s">
        <v>311</v>
      </c>
      <c r="H6" s="756"/>
      <c r="I6" s="1046"/>
    </row>
    <row r="7" spans="1:9" s="43" customFormat="1" ht="12" x14ac:dyDescent="0.2">
      <c r="A7" s="1099"/>
      <c r="B7" s="1099"/>
      <c r="C7" s="1099"/>
      <c r="D7" s="1100"/>
      <c r="E7" s="1100"/>
      <c r="F7" s="1100"/>
      <c r="G7" s="1106"/>
      <c r="H7" s="756"/>
      <c r="I7" s="1046"/>
    </row>
    <row r="8" spans="1:9" s="43" customFormat="1" ht="24" x14ac:dyDescent="0.2">
      <c r="A8" s="1099"/>
      <c r="B8" s="1099"/>
      <c r="C8" s="1099"/>
      <c r="D8" s="359" t="s">
        <v>308</v>
      </c>
      <c r="E8" s="359" t="s">
        <v>309</v>
      </c>
      <c r="F8" s="359" t="s">
        <v>3</v>
      </c>
      <c r="G8" s="1106"/>
      <c r="H8" s="756"/>
      <c r="I8" s="1046"/>
    </row>
    <row r="9" spans="1:9" s="70" customFormat="1" ht="11.25" x14ac:dyDescent="0.25">
      <c r="A9" s="360">
        <v>1</v>
      </c>
      <c r="B9" s="360">
        <v>2</v>
      </c>
      <c r="C9" s="360">
        <v>3</v>
      </c>
      <c r="D9" s="360">
        <v>4</v>
      </c>
      <c r="E9" s="360">
        <v>5</v>
      </c>
      <c r="F9" s="360">
        <v>6</v>
      </c>
      <c r="G9" s="816">
        <v>7</v>
      </c>
      <c r="H9" s="762" t="s">
        <v>497</v>
      </c>
      <c r="I9" s="1047"/>
    </row>
    <row r="10" spans="1:9" ht="15" customHeight="1" x14ac:dyDescent="0.25">
      <c r="A10" s="429" t="s">
        <v>4</v>
      </c>
      <c r="B10" s="362"/>
      <c r="C10" s="430"/>
      <c r="D10" s="363"/>
      <c r="E10" s="430"/>
      <c r="F10" s="363"/>
      <c r="G10" s="817"/>
      <c r="H10" s="573">
        <v>78</v>
      </c>
    </row>
    <row r="11" spans="1:9" ht="15" customHeight="1" x14ac:dyDescent="0.25">
      <c r="A11" s="403" t="s">
        <v>5</v>
      </c>
      <c r="B11" s="365"/>
      <c r="C11" s="404"/>
      <c r="D11" s="366"/>
      <c r="E11" s="404"/>
      <c r="F11" s="366"/>
      <c r="G11" s="818"/>
      <c r="H11" s="568"/>
    </row>
    <row r="12" spans="1:9" ht="15" customHeight="1" x14ac:dyDescent="0.25">
      <c r="A12" s="373" t="str">
        <f>"Salaries and Wages - Regular (" &amp; H10 &amp; ")"</f>
        <v>Salaries and Wages - Regular (78)</v>
      </c>
      <c r="B12" s="352" t="s">
        <v>6</v>
      </c>
      <c r="C12" s="406">
        <v>29416767.079999998</v>
      </c>
      <c r="D12" s="369">
        <v>14884661.82</v>
      </c>
      <c r="E12" s="406">
        <f>F12-D12</f>
        <v>21240913.38000001</v>
      </c>
      <c r="F12" s="369">
        <v>36125575.20000001</v>
      </c>
      <c r="G12" s="717">
        <f>H12+I12</f>
        <v>38354040</v>
      </c>
      <c r="H12" s="569">
        <v>37418040</v>
      </c>
      <c r="I12" s="49">
        <f>I14/2</f>
        <v>936000</v>
      </c>
    </row>
    <row r="13" spans="1:9" ht="15" customHeight="1" x14ac:dyDescent="0.25">
      <c r="A13" s="403" t="s">
        <v>7</v>
      </c>
      <c r="B13" s="365"/>
      <c r="C13" s="404"/>
      <c r="D13" s="366"/>
      <c r="E13" s="404"/>
      <c r="F13" s="366"/>
      <c r="G13" s="818"/>
      <c r="H13" s="568"/>
    </row>
    <row r="14" spans="1:9" ht="15" customHeight="1" x14ac:dyDescent="0.25">
      <c r="A14" s="373" t="s">
        <v>8</v>
      </c>
      <c r="B14" s="352" t="s">
        <v>9</v>
      </c>
      <c r="C14" s="406">
        <v>1658454.55</v>
      </c>
      <c r="D14" s="369">
        <v>805000</v>
      </c>
      <c r="E14" s="406">
        <f t="shared" ref="E14:E19" si="0">F14-D14</f>
        <v>1067000</v>
      </c>
      <c r="F14" s="369">
        <v>1872000</v>
      </c>
      <c r="G14" s="717">
        <f>param_pera*CHO_PLATILLA_ITEMS*12</f>
        <v>1872000</v>
      </c>
      <c r="H14" s="568"/>
      <c r="I14" s="49">
        <v>1872000</v>
      </c>
    </row>
    <row r="15" spans="1:9" ht="15" customHeight="1" x14ac:dyDescent="0.25">
      <c r="A15" s="373" t="s">
        <v>11</v>
      </c>
      <c r="B15" s="352" t="s">
        <v>12</v>
      </c>
      <c r="C15" s="406">
        <v>270700</v>
      </c>
      <c r="D15" s="369">
        <v>184500</v>
      </c>
      <c r="E15" s="406">
        <f t="shared" si="0"/>
        <v>97500</v>
      </c>
      <c r="F15" s="369">
        <v>282000</v>
      </c>
      <c r="G15" s="717">
        <f>H15*12</f>
        <v>553200</v>
      </c>
      <c r="H15" s="568">
        <f>23500+22600</f>
        <v>46100</v>
      </c>
    </row>
    <row r="16" spans="1:9" ht="15" customHeight="1" x14ac:dyDescent="0.25">
      <c r="A16" s="373" t="s">
        <v>13</v>
      </c>
      <c r="B16" s="352" t="s">
        <v>14</v>
      </c>
      <c r="C16" s="406">
        <v>270700</v>
      </c>
      <c r="D16" s="369">
        <v>184500</v>
      </c>
      <c r="E16" s="406">
        <f t="shared" si="0"/>
        <v>97500</v>
      </c>
      <c r="F16" s="369">
        <v>282000</v>
      </c>
      <c r="G16" s="717">
        <f>H16*12</f>
        <v>553200</v>
      </c>
      <c r="H16" s="568">
        <f>23500+22600</f>
        <v>46100</v>
      </c>
    </row>
    <row r="17" spans="1:10" ht="15" customHeight="1" x14ac:dyDescent="0.25">
      <c r="A17" s="373" t="s">
        <v>15</v>
      </c>
      <c r="B17" s="352" t="s">
        <v>16</v>
      </c>
      <c r="C17" s="406">
        <v>420000</v>
      </c>
      <c r="D17" s="369">
        <v>402000</v>
      </c>
      <c r="E17" s="406">
        <f t="shared" si="0"/>
        <v>66000</v>
      </c>
      <c r="F17" s="369">
        <v>468000</v>
      </c>
      <c r="G17" s="717">
        <f>param_uniform*CHO_PLATILLA_ITEMS</f>
        <v>468000</v>
      </c>
      <c r="H17" s="568"/>
    </row>
    <row r="18" spans="1:10" ht="15" customHeight="1" x14ac:dyDescent="0.25">
      <c r="A18" s="373" t="s">
        <v>161</v>
      </c>
      <c r="B18" s="352" t="s">
        <v>160</v>
      </c>
      <c r="C18" s="406">
        <v>1141840.9099999999</v>
      </c>
      <c r="D18" s="369">
        <v>603750</v>
      </c>
      <c r="E18" s="406">
        <f t="shared" si="0"/>
        <v>800250</v>
      </c>
      <c r="F18" s="369">
        <v>1404000</v>
      </c>
      <c r="G18" s="717">
        <f>H18*CHO_PLATILLA_ITEMS*12</f>
        <v>1404000</v>
      </c>
      <c r="H18" s="568">
        <v>1500</v>
      </c>
      <c r="J18" s="41" t="s">
        <v>610</v>
      </c>
    </row>
    <row r="19" spans="1:10" ht="15" customHeight="1" x14ac:dyDescent="0.25">
      <c r="A19" s="373" t="s">
        <v>159</v>
      </c>
      <c r="B19" s="352" t="s">
        <v>158</v>
      </c>
      <c r="C19" s="406">
        <v>114184.09</v>
      </c>
      <c r="D19" s="369">
        <v>60375</v>
      </c>
      <c r="E19" s="406">
        <f t="shared" si="0"/>
        <v>80025</v>
      </c>
      <c r="F19" s="369">
        <v>140400</v>
      </c>
      <c r="G19" s="717">
        <f>H19*CHO_PLATILLA_ITEMS*12</f>
        <v>140400</v>
      </c>
      <c r="H19" s="568">
        <v>150</v>
      </c>
    </row>
    <row r="20" spans="1:10" ht="15" customHeight="1" x14ac:dyDescent="0.25">
      <c r="A20" s="373" t="s">
        <v>10</v>
      </c>
      <c r="B20" s="352" t="s">
        <v>175</v>
      </c>
      <c r="C20" s="406"/>
      <c r="D20" s="369"/>
      <c r="E20" s="406"/>
      <c r="F20" s="369"/>
      <c r="G20" s="717"/>
      <c r="H20" s="568"/>
    </row>
    <row r="21" spans="1:10" ht="15" customHeight="1" x14ac:dyDescent="0.25">
      <c r="A21" s="434" t="s">
        <v>337</v>
      </c>
      <c r="B21" s="352"/>
      <c r="C21" s="406">
        <v>5283483.1399999997</v>
      </c>
      <c r="D21" s="369">
        <v>2918576.15</v>
      </c>
      <c r="E21" s="406">
        <f t="shared" ref="E21:E24" si="1">F21-D21</f>
        <v>3581423.85</v>
      </c>
      <c r="F21" s="369">
        <v>6500000</v>
      </c>
      <c r="G21" s="717">
        <v>6500000</v>
      </c>
      <c r="H21" s="568"/>
    </row>
    <row r="22" spans="1:10" ht="15" customHeight="1" x14ac:dyDescent="0.25">
      <c r="A22" s="373" t="s">
        <v>838</v>
      </c>
      <c r="B22" s="352" t="s">
        <v>839</v>
      </c>
      <c r="C22" s="406">
        <v>0</v>
      </c>
      <c r="D22" s="369">
        <v>0</v>
      </c>
      <c r="E22" s="406">
        <v>0</v>
      </c>
      <c r="F22" s="369">
        <v>0</v>
      </c>
      <c r="G22" s="717">
        <v>1800000</v>
      </c>
      <c r="H22" s="568"/>
    </row>
    <row r="23" spans="1:10" ht="15" customHeight="1" x14ac:dyDescent="0.25">
      <c r="A23" s="373" t="s">
        <v>17</v>
      </c>
      <c r="B23" s="352" t="s">
        <v>18</v>
      </c>
      <c r="C23" s="406">
        <v>2390302</v>
      </c>
      <c r="D23" s="369"/>
      <c r="E23" s="406">
        <f t="shared" si="1"/>
        <v>3010464.600000001</v>
      </c>
      <c r="F23" s="369">
        <v>3010464.600000001</v>
      </c>
      <c r="G23" s="717">
        <f>H12/12+I23</f>
        <v>3586170</v>
      </c>
      <c r="H23" s="568"/>
      <c r="I23" s="49">
        <f>I14/4</f>
        <v>468000</v>
      </c>
    </row>
    <row r="24" spans="1:10" ht="15" customHeight="1" x14ac:dyDescent="0.25">
      <c r="A24" s="373" t="s">
        <v>19</v>
      </c>
      <c r="B24" s="352" t="s">
        <v>20</v>
      </c>
      <c r="C24" s="406">
        <v>343000</v>
      </c>
      <c r="D24" s="369"/>
      <c r="E24" s="406">
        <f t="shared" si="1"/>
        <v>390000</v>
      </c>
      <c r="F24" s="369">
        <v>390000</v>
      </c>
      <c r="G24" s="717">
        <f>param_cash_gift*CHO_PLATILLA_ITEMS</f>
        <v>390000</v>
      </c>
      <c r="H24" s="568"/>
    </row>
    <row r="25" spans="1:10" ht="15" customHeight="1" x14ac:dyDescent="0.25">
      <c r="A25" s="403" t="s">
        <v>21</v>
      </c>
      <c r="B25" s="365"/>
      <c r="C25" s="404"/>
      <c r="D25" s="366"/>
      <c r="E25" s="406"/>
      <c r="F25" s="366"/>
      <c r="G25" s="818"/>
      <c r="H25" s="568"/>
    </row>
    <row r="26" spans="1:10" ht="15" customHeight="1" x14ac:dyDescent="0.25">
      <c r="A26" s="373" t="s">
        <v>22</v>
      </c>
      <c r="B26" s="352" t="s">
        <v>23</v>
      </c>
      <c r="C26" s="406">
        <v>3521279.95</v>
      </c>
      <c r="D26" s="369">
        <v>1801791.32</v>
      </c>
      <c r="E26" s="406">
        <f t="shared" ref="E26:E29" si="2">F26-D26</f>
        <v>2533277.7040000008</v>
      </c>
      <c r="F26" s="369">
        <v>4335069.0240000011</v>
      </c>
      <c r="G26" s="717">
        <f>H12*12%</f>
        <v>4490164.8</v>
      </c>
      <c r="H26" s="568"/>
    </row>
    <row r="27" spans="1:10" ht="15" customHeight="1" x14ac:dyDescent="0.25">
      <c r="A27" s="373" t="s">
        <v>24</v>
      </c>
      <c r="B27" s="352" t="s">
        <v>25</v>
      </c>
      <c r="C27" s="406">
        <v>82900</v>
      </c>
      <c r="D27" s="369">
        <v>40200</v>
      </c>
      <c r="E27" s="406">
        <f t="shared" si="2"/>
        <v>100200</v>
      </c>
      <c r="F27" s="369">
        <v>140400</v>
      </c>
      <c r="G27" s="717">
        <f>param_pagibig*CHO_PLATILLA_ITEMS*12</f>
        <v>140400</v>
      </c>
      <c r="H27" s="568"/>
    </row>
    <row r="28" spans="1:10" ht="15" customHeight="1" x14ac:dyDescent="0.25">
      <c r="A28" s="373" t="s">
        <v>26</v>
      </c>
      <c r="B28" s="352" t="s">
        <v>27</v>
      </c>
      <c r="C28" s="406">
        <v>389418.54</v>
      </c>
      <c r="D28" s="369">
        <v>285596.24</v>
      </c>
      <c r="E28" s="406">
        <f t="shared" si="2"/>
        <v>482403.76</v>
      </c>
      <c r="F28" s="369">
        <v>768000</v>
      </c>
      <c r="G28" s="717">
        <f>ROUND(H28+(H28*0.1), -1)</f>
        <v>655430</v>
      </c>
      <c r="H28" s="568">
        <v>595841.92500000051</v>
      </c>
    </row>
    <row r="29" spans="1:10" ht="15" customHeight="1" x14ac:dyDescent="0.25">
      <c r="A29" s="373" t="s">
        <v>28</v>
      </c>
      <c r="B29" s="352" t="s">
        <v>29</v>
      </c>
      <c r="C29" s="406">
        <v>82900</v>
      </c>
      <c r="D29" s="369">
        <v>40400</v>
      </c>
      <c r="E29" s="406">
        <f t="shared" si="2"/>
        <v>100000</v>
      </c>
      <c r="F29" s="369">
        <v>140400</v>
      </c>
      <c r="G29" s="717">
        <f>param_ecc*CHO_PLATILLA_ITEMS*12</f>
        <v>140400</v>
      </c>
      <c r="H29" s="568"/>
    </row>
    <row r="30" spans="1:10" ht="15" customHeight="1" x14ac:dyDescent="0.25">
      <c r="A30" s="403" t="s">
        <v>30</v>
      </c>
      <c r="B30" s="365"/>
      <c r="C30" s="404"/>
      <c r="D30" s="366"/>
      <c r="E30" s="406"/>
      <c r="F30" s="366"/>
      <c r="G30" s="818"/>
      <c r="H30" s="568"/>
    </row>
    <row r="31" spans="1:10" ht="15" customHeight="1" x14ac:dyDescent="0.25">
      <c r="A31" s="373" t="s">
        <v>30</v>
      </c>
      <c r="B31" s="352" t="s">
        <v>33</v>
      </c>
      <c r="C31" s="406"/>
      <c r="D31" s="369"/>
      <c r="E31" s="369"/>
      <c r="F31" s="369"/>
      <c r="G31" s="717"/>
      <c r="H31" s="573">
        <f>SUM(G31:G39)</f>
        <v>4416170</v>
      </c>
    </row>
    <row r="32" spans="1:10" ht="15" customHeight="1" x14ac:dyDescent="0.25">
      <c r="A32" s="434" t="s">
        <v>332</v>
      </c>
      <c r="B32" s="352"/>
      <c r="C32" s="406">
        <v>2353001</v>
      </c>
      <c r="D32" s="369">
        <v>2503807</v>
      </c>
      <c r="E32" s="406">
        <f>F32-D32</f>
        <v>506657.60000000102</v>
      </c>
      <c r="F32" s="369">
        <v>3010464.600000001</v>
      </c>
      <c r="G32" s="717">
        <f>H12/12+I32</f>
        <v>3586170</v>
      </c>
      <c r="H32" s="568"/>
      <c r="I32" s="49">
        <f>I14/4</f>
        <v>468000</v>
      </c>
    </row>
    <row r="33" spans="1:8" ht="15" customHeight="1" x14ac:dyDescent="0.25">
      <c r="A33" s="434" t="s">
        <v>654</v>
      </c>
      <c r="B33" s="352"/>
      <c r="C33" s="406"/>
      <c r="D33" s="369"/>
      <c r="E33" s="406"/>
      <c r="F33" s="369"/>
      <c r="G33" s="717"/>
      <c r="H33" s="568"/>
    </row>
    <row r="34" spans="1:8" ht="15" customHeight="1" x14ac:dyDescent="0.25">
      <c r="A34" s="434" t="s">
        <v>333</v>
      </c>
      <c r="B34" s="352"/>
      <c r="C34" s="406">
        <v>257500</v>
      </c>
      <c r="D34" s="369"/>
      <c r="E34" s="406">
        <f t="shared" ref="E34:E36" si="3">F34-D34</f>
        <v>390000</v>
      </c>
      <c r="F34" s="369">
        <v>390000</v>
      </c>
      <c r="G34" s="717">
        <f>param_pei*CHO_PLATILLA_ITEMS</f>
        <v>390000</v>
      </c>
      <c r="H34" s="568"/>
    </row>
    <row r="35" spans="1:8" ht="30" customHeight="1" x14ac:dyDescent="0.25">
      <c r="A35" s="434" t="s">
        <v>649</v>
      </c>
      <c r="B35" s="352"/>
      <c r="C35" s="406"/>
      <c r="D35" s="369"/>
      <c r="E35" s="406">
        <f t="shared" si="3"/>
        <v>390000</v>
      </c>
      <c r="F35" s="369">
        <v>390000</v>
      </c>
      <c r="G35" s="717">
        <f>param_pbb*CHO_PLATILLA_ITEMS</f>
        <v>390000</v>
      </c>
      <c r="H35" s="568"/>
    </row>
    <row r="36" spans="1:8" ht="15" customHeight="1" x14ac:dyDescent="0.25">
      <c r="A36" s="434" t="s">
        <v>334</v>
      </c>
      <c r="B36" s="352"/>
      <c r="C36" s="406">
        <v>40000</v>
      </c>
      <c r="D36" s="369"/>
      <c r="E36" s="406">
        <f t="shared" si="3"/>
        <v>50000</v>
      </c>
      <c r="F36" s="369">
        <v>50000</v>
      </c>
      <c r="G36" s="717">
        <v>50000</v>
      </c>
      <c r="H36" s="573"/>
    </row>
    <row r="37" spans="1:8" ht="15" customHeight="1" x14ac:dyDescent="0.25">
      <c r="A37" s="513" t="s">
        <v>650</v>
      </c>
      <c r="B37" s="479"/>
      <c r="C37" s="381">
        <v>1750000</v>
      </c>
      <c r="D37" s="381"/>
      <c r="E37" s="381"/>
      <c r="F37" s="381"/>
      <c r="G37" s="819"/>
      <c r="H37" s="758"/>
    </row>
    <row r="38" spans="1:8" ht="15" customHeight="1" x14ac:dyDescent="0.25">
      <c r="A38" s="376" t="s">
        <v>652</v>
      </c>
      <c r="B38" s="352"/>
      <c r="C38" s="369"/>
      <c r="D38" s="369"/>
      <c r="E38" s="369"/>
      <c r="F38" s="369"/>
      <c r="G38" s="386"/>
      <c r="H38" s="758"/>
    </row>
    <row r="39" spans="1:8" ht="15" customHeight="1" x14ac:dyDescent="0.25">
      <c r="A39" s="378" t="s">
        <v>653</v>
      </c>
      <c r="B39" s="379"/>
      <c r="C39" s="380">
        <v>694000</v>
      </c>
      <c r="D39" s="380"/>
      <c r="E39" s="381"/>
      <c r="F39" s="380"/>
      <c r="G39" s="820"/>
      <c r="H39" s="758"/>
    </row>
    <row r="40" spans="1:8" ht="15" customHeight="1" x14ac:dyDescent="0.25">
      <c r="A40" s="396" t="s">
        <v>34</v>
      </c>
      <c r="B40" s="397"/>
      <c r="C40" s="398">
        <f>SUM(C11:C39)</f>
        <v>50480431.259999998</v>
      </c>
      <c r="D40" s="398">
        <f>SUM(D11:D39)</f>
        <v>24715157.529999997</v>
      </c>
      <c r="E40" s="398">
        <f>SUM(E11:E39)</f>
        <v>34983615.894000016</v>
      </c>
      <c r="F40" s="398">
        <f>SUM(F11:F39)</f>
        <v>59698773.424000017</v>
      </c>
      <c r="G40" s="779">
        <f>SUM(G11:G39)</f>
        <v>65463574.799999997</v>
      </c>
      <c r="H40" s="573"/>
    </row>
    <row r="41" spans="1:8" ht="15" customHeight="1" x14ac:dyDescent="0.25">
      <c r="A41" s="429" t="s">
        <v>35</v>
      </c>
      <c r="B41" s="362"/>
      <c r="C41" s="430"/>
      <c r="D41" s="363"/>
      <c r="E41" s="430"/>
      <c r="F41" s="525"/>
      <c r="G41" s="817"/>
      <c r="H41" s="573"/>
    </row>
    <row r="42" spans="1:8" ht="15" customHeight="1" x14ac:dyDescent="0.25">
      <c r="A42" s="403" t="s">
        <v>50</v>
      </c>
      <c r="B42" s="365"/>
      <c r="C42" s="404"/>
      <c r="D42" s="366"/>
      <c r="E42" s="366"/>
      <c r="F42" s="390"/>
      <c r="G42" s="818"/>
      <c r="H42" s="568"/>
    </row>
    <row r="43" spans="1:8" ht="15" customHeight="1" x14ac:dyDescent="0.25">
      <c r="A43" s="373" t="s">
        <v>139</v>
      </c>
      <c r="B43" s="352" t="s">
        <v>138</v>
      </c>
      <c r="C43" s="406">
        <v>19825.5</v>
      </c>
      <c r="D43" s="369">
        <v>13258</v>
      </c>
      <c r="E43" s="406"/>
      <c r="F43" s="386">
        <v>500000</v>
      </c>
      <c r="G43" s="717">
        <v>700000</v>
      </c>
      <c r="H43" s="568"/>
    </row>
    <row r="44" spans="1:8" ht="15" customHeight="1" x14ac:dyDescent="0.25">
      <c r="A44" s="403" t="s">
        <v>55</v>
      </c>
      <c r="B44" s="365"/>
      <c r="C44" s="404"/>
      <c r="D44" s="366"/>
      <c r="E44" s="406"/>
      <c r="F44" s="390"/>
      <c r="G44" s="818"/>
      <c r="H44" s="568"/>
    </row>
    <row r="45" spans="1:8" ht="15" customHeight="1" x14ac:dyDescent="0.25">
      <c r="A45" s="373" t="s">
        <v>56</v>
      </c>
      <c r="B45" s="352" t="s">
        <v>57</v>
      </c>
      <c r="C45" s="406">
        <v>115548</v>
      </c>
      <c r="D45" s="369">
        <v>8700</v>
      </c>
      <c r="E45" s="406">
        <f>F45-D45</f>
        <v>86300</v>
      </c>
      <c r="F45" s="386">
        <v>95000</v>
      </c>
      <c r="G45" s="717">
        <v>100000</v>
      </c>
      <c r="H45" s="568"/>
    </row>
    <row r="46" spans="1:8" ht="15" customHeight="1" x14ac:dyDescent="0.25">
      <c r="A46" s="403" t="s">
        <v>58</v>
      </c>
      <c r="B46" s="365"/>
      <c r="C46" s="404"/>
      <c r="D46" s="366"/>
      <c r="E46" s="406"/>
      <c r="F46" s="576"/>
      <c r="G46" s="818"/>
      <c r="H46" s="49"/>
    </row>
    <row r="47" spans="1:8" ht="15" customHeight="1" x14ac:dyDescent="0.25">
      <c r="A47" s="373" t="s">
        <v>61</v>
      </c>
      <c r="B47" s="352" t="s">
        <v>62</v>
      </c>
      <c r="C47" s="406">
        <v>48959.12</v>
      </c>
      <c r="D47" s="369">
        <v>18000</v>
      </c>
      <c r="E47" s="406">
        <f t="shared" ref="E47:E48" si="4">F47-D47</f>
        <v>18000</v>
      </c>
      <c r="F47" s="386">
        <v>36000</v>
      </c>
      <c r="G47" s="821">
        <v>50000</v>
      </c>
      <c r="H47" s="49"/>
    </row>
    <row r="48" spans="1:8" ht="15" customHeight="1" x14ac:dyDescent="0.25">
      <c r="A48" s="373" t="s">
        <v>63</v>
      </c>
      <c r="B48" s="352" t="s">
        <v>64</v>
      </c>
      <c r="C48" s="406">
        <v>63205.8</v>
      </c>
      <c r="D48" s="369">
        <v>22500</v>
      </c>
      <c r="E48" s="406">
        <f t="shared" si="4"/>
        <v>27500</v>
      </c>
      <c r="F48" s="386">
        <v>50000</v>
      </c>
      <c r="G48" s="821">
        <v>100000</v>
      </c>
      <c r="H48" s="49"/>
    </row>
    <row r="49" spans="1:8" ht="15" customHeight="1" x14ac:dyDescent="0.25">
      <c r="A49" s="403" t="s">
        <v>74</v>
      </c>
      <c r="B49" s="365"/>
      <c r="C49" s="404"/>
      <c r="D49" s="366"/>
      <c r="E49" s="366"/>
      <c r="F49" s="390"/>
      <c r="G49" s="818"/>
      <c r="H49" s="49"/>
    </row>
    <row r="50" spans="1:8" ht="15" customHeight="1" x14ac:dyDescent="0.25">
      <c r="A50" s="373" t="s">
        <v>77</v>
      </c>
      <c r="B50" s="352" t="s">
        <v>78</v>
      </c>
      <c r="C50" s="406"/>
      <c r="D50" s="369"/>
      <c r="E50" s="406"/>
      <c r="F50" s="386"/>
      <c r="G50" s="717"/>
      <c r="H50" s="49">
        <f>SUM(G51:G61)</f>
        <v>20280000</v>
      </c>
    </row>
    <row r="51" spans="1:8" ht="15" customHeight="1" x14ac:dyDescent="0.25">
      <c r="A51" s="373" t="s">
        <v>455</v>
      </c>
      <c r="B51" s="352"/>
      <c r="C51" s="406">
        <v>12076500</v>
      </c>
      <c r="D51" s="369">
        <v>5109900</v>
      </c>
      <c r="E51" s="406">
        <f>F51-D51</f>
        <v>6890100</v>
      </c>
      <c r="F51" s="386">
        <v>12000000</v>
      </c>
      <c r="G51" s="717">
        <v>18650000</v>
      </c>
      <c r="H51" s="49"/>
    </row>
    <row r="52" spans="1:8" ht="15" customHeight="1" x14ac:dyDescent="0.25">
      <c r="A52" s="373" t="s">
        <v>326</v>
      </c>
      <c r="B52" s="352"/>
      <c r="C52" s="406">
        <v>161000</v>
      </c>
      <c r="D52" s="369"/>
      <c r="E52" s="406">
        <f>F52-D52</f>
        <v>300000</v>
      </c>
      <c r="F52" s="386">
        <v>300000</v>
      </c>
      <c r="G52" s="717">
        <v>400000</v>
      </c>
      <c r="H52" s="49"/>
    </row>
    <row r="53" spans="1:8" ht="15" customHeight="1" x14ac:dyDescent="0.25">
      <c r="A53" s="373" t="s">
        <v>712</v>
      </c>
      <c r="B53" s="352"/>
      <c r="C53" s="406"/>
      <c r="D53" s="369"/>
      <c r="E53" s="406"/>
      <c r="F53" s="386">
        <v>200000</v>
      </c>
      <c r="G53" s="717">
        <v>180000</v>
      </c>
      <c r="H53" s="49"/>
    </row>
    <row r="54" spans="1:8" ht="15" customHeight="1" x14ac:dyDescent="0.25">
      <c r="A54" s="373" t="s">
        <v>327</v>
      </c>
      <c r="B54" s="352"/>
      <c r="C54" s="406"/>
      <c r="D54" s="369"/>
      <c r="E54" s="406">
        <f>F54-D54</f>
        <v>100000</v>
      </c>
      <c r="F54" s="386">
        <v>100000</v>
      </c>
      <c r="G54" s="717">
        <v>150000</v>
      </c>
      <c r="H54" s="49"/>
    </row>
    <row r="55" spans="1:8" ht="15" customHeight="1" x14ac:dyDescent="0.25">
      <c r="A55" s="373" t="s">
        <v>530</v>
      </c>
      <c r="B55" s="352"/>
      <c r="C55" s="406"/>
      <c r="D55" s="369"/>
      <c r="E55" s="406"/>
      <c r="F55" s="386">
        <v>100000</v>
      </c>
      <c r="G55" s="717">
        <v>100000</v>
      </c>
      <c r="H55" s="49"/>
    </row>
    <row r="56" spans="1:8" ht="15" customHeight="1" x14ac:dyDescent="0.25">
      <c r="A56" s="373" t="s">
        <v>447</v>
      </c>
      <c r="B56" s="352"/>
      <c r="C56" s="406"/>
      <c r="D56" s="369"/>
      <c r="E56" s="406">
        <f>F56-D56</f>
        <v>100000</v>
      </c>
      <c r="F56" s="386">
        <v>100000</v>
      </c>
      <c r="G56" s="717">
        <v>100000</v>
      </c>
      <c r="H56" s="49"/>
    </row>
    <row r="57" spans="1:8" ht="15" customHeight="1" x14ac:dyDescent="0.25">
      <c r="A57" s="373" t="s">
        <v>714</v>
      </c>
      <c r="B57" s="352"/>
      <c r="C57" s="406"/>
      <c r="D57" s="369"/>
      <c r="E57" s="406"/>
      <c r="F57" s="386">
        <v>75000</v>
      </c>
      <c r="G57" s="717">
        <v>100000</v>
      </c>
      <c r="H57" s="49"/>
    </row>
    <row r="58" spans="1:8" ht="15" customHeight="1" x14ac:dyDescent="0.25">
      <c r="A58" s="373" t="s">
        <v>328</v>
      </c>
      <c r="B58" s="352"/>
      <c r="C58" s="406"/>
      <c r="D58" s="369"/>
      <c r="E58" s="406">
        <f t="shared" ref="E58:E59" si="5">F58-D58</f>
        <v>100000</v>
      </c>
      <c r="F58" s="386">
        <v>100000</v>
      </c>
      <c r="G58" s="717">
        <v>150000</v>
      </c>
      <c r="H58" s="49"/>
    </row>
    <row r="59" spans="1:8" ht="30" customHeight="1" x14ac:dyDescent="0.25">
      <c r="A59" s="373" t="s">
        <v>329</v>
      </c>
      <c r="B59" s="352"/>
      <c r="C59" s="406"/>
      <c r="D59" s="369"/>
      <c r="E59" s="406">
        <f t="shared" si="5"/>
        <v>100000</v>
      </c>
      <c r="F59" s="386">
        <v>100000</v>
      </c>
      <c r="G59" s="717">
        <v>200000</v>
      </c>
      <c r="H59" s="49"/>
    </row>
    <row r="60" spans="1:8" ht="15" customHeight="1" x14ac:dyDescent="0.25">
      <c r="A60" s="373" t="s">
        <v>713</v>
      </c>
      <c r="B60" s="352"/>
      <c r="C60" s="406"/>
      <c r="D60" s="369"/>
      <c r="E60" s="406"/>
      <c r="F60" s="369">
        <v>100000</v>
      </c>
      <c r="G60" s="717">
        <v>100000</v>
      </c>
      <c r="H60" s="49"/>
    </row>
    <row r="61" spans="1:8" ht="15" customHeight="1" x14ac:dyDescent="0.25">
      <c r="A61" s="373" t="s">
        <v>715</v>
      </c>
      <c r="B61" s="352"/>
      <c r="C61" s="406"/>
      <c r="D61" s="369"/>
      <c r="E61" s="406"/>
      <c r="F61" s="386">
        <v>100000</v>
      </c>
      <c r="G61" s="717">
        <v>150000</v>
      </c>
      <c r="H61" s="49"/>
    </row>
    <row r="62" spans="1:8" ht="15" customHeight="1" x14ac:dyDescent="0.25">
      <c r="A62" s="403" t="s">
        <v>79</v>
      </c>
      <c r="B62" s="365"/>
      <c r="C62" s="404"/>
      <c r="D62" s="366"/>
      <c r="E62" s="366"/>
      <c r="F62" s="390"/>
      <c r="G62" s="818"/>
      <c r="H62" s="49"/>
    </row>
    <row r="63" spans="1:8" ht="15" customHeight="1" x14ac:dyDescent="0.25">
      <c r="A63" s="373" t="s">
        <v>80</v>
      </c>
      <c r="B63" s="352" t="s">
        <v>81</v>
      </c>
      <c r="C63" s="406">
        <v>6991486.9800000004</v>
      </c>
      <c r="D63" s="369">
        <v>3430260</v>
      </c>
      <c r="E63" s="406">
        <f>F63-D63</f>
        <v>3769740</v>
      </c>
      <c r="F63" s="386">
        <v>7200000</v>
      </c>
      <c r="G63" s="717">
        <v>8330240</v>
      </c>
      <c r="H63" s="49">
        <f>SUM(G63:G66)</f>
        <v>9680240</v>
      </c>
    </row>
    <row r="64" spans="1:8" ht="15" customHeight="1" x14ac:dyDescent="0.25">
      <c r="A64" s="373" t="s">
        <v>716</v>
      </c>
      <c r="B64" s="352"/>
      <c r="C64" s="406"/>
      <c r="D64" s="369"/>
      <c r="E64" s="406"/>
      <c r="F64" s="386">
        <v>250000</v>
      </c>
      <c r="G64" s="717">
        <v>300000</v>
      </c>
      <c r="H64" s="49"/>
    </row>
    <row r="65" spans="1:9" ht="15" customHeight="1" x14ac:dyDescent="0.25">
      <c r="A65" s="373" t="s">
        <v>330</v>
      </c>
      <c r="B65" s="352"/>
      <c r="C65" s="406">
        <v>1811.21</v>
      </c>
      <c r="D65" s="369"/>
      <c r="E65" s="406">
        <f t="shared" ref="E65:E66" si="6">F65-D65</f>
        <v>50000</v>
      </c>
      <c r="F65" s="386">
        <v>50000</v>
      </c>
      <c r="G65" s="717">
        <v>50000</v>
      </c>
      <c r="H65" s="49"/>
    </row>
    <row r="66" spans="1:9" ht="15" customHeight="1" x14ac:dyDescent="0.25">
      <c r="A66" s="373" t="s">
        <v>331</v>
      </c>
      <c r="B66" s="352"/>
      <c r="C66" s="406"/>
      <c r="D66" s="369"/>
      <c r="E66" s="406">
        <f t="shared" si="6"/>
        <v>1000000</v>
      </c>
      <c r="F66" s="386">
        <v>1000000</v>
      </c>
      <c r="G66" s="717">
        <v>1000000</v>
      </c>
      <c r="H66" s="49"/>
    </row>
    <row r="67" spans="1:9" ht="15" customHeight="1" x14ac:dyDescent="0.25">
      <c r="A67" s="403" t="s">
        <v>42</v>
      </c>
      <c r="B67" s="365"/>
      <c r="C67" s="404"/>
      <c r="D67" s="366"/>
      <c r="E67" s="404"/>
      <c r="F67" s="366"/>
      <c r="G67" s="818"/>
      <c r="H67" s="49"/>
    </row>
    <row r="68" spans="1:9" ht="15" customHeight="1" x14ac:dyDescent="0.25">
      <c r="A68" s="373" t="s">
        <v>42</v>
      </c>
      <c r="B68" s="433" t="s">
        <v>176</v>
      </c>
      <c r="C68" s="406"/>
      <c r="D68" s="369">
        <v>9741</v>
      </c>
      <c r="E68" s="406">
        <f>F68-D68</f>
        <v>40259</v>
      </c>
      <c r="F68" s="386">
        <v>50000</v>
      </c>
      <c r="G68" s="717">
        <v>50000</v>
      </c>
      <c r="H68" s="49"/>
    </row>
    <row r="69" spans="1:9" ht="30" customHeight="1" x14ac:dyDescent="0.25">
      <c r="A69" s="434" t="s">
        <v>960</v>
      </c>
      <c r="B69" s="352"/>
      <c r="C69" s="406"/>
      <c r="D69" s="369"/>
      <c r="E69" s="406"/>
      <c r="F69" s="386"/>
      <c r="G69" s="717">
        <v>500000</v>
      </c>
      <c r="H69" s="49">
        <f>SUM(G42:G69)</f>
        <v>31460240</v>
      </c>
    </row>
    <row r="70" spans="1:9" ht="15" customHeight="1" x14ac:dyDescent="0.25">
      <c r="A70" s="434" t="s">
        <v>778</v>
      </c>
      <c r="B70" s="352"/>
      <c r="C70" s="406"/>
      <c r="D70" s="369"/>
      <c r="E70" s="406"/>
      <c r="F70" s="386">
        <v>400000</v>
      </c>
      <c r="G70" s="717">
        <v>400000</v>
      </c>
      <c r="H70" s="49">
        <f>SUM(G43:G70)</f>
        <v>31860240</v>
      </c>
    </row>
    <row r="71" spans="1:9" ht="30" customHeight="1" x14ac:dyDescent="0.25">
      <c r="A71" s="719" t="s">
        <v>802</v>
      </c>
      <c r="B71" s="365"/>
      <c r="C71" s="404"/>
      <c r="D71" s="366"/>
      <c r="E71" s="366"/>
      <c r="F71" s="390"/>
      <c r="G71" s="818"/>
      <c r="H71" s="49"/>
    </row>
    <row r="72" spans="1:9" ht="15" customHeight="1" x14ac:dyDescent="0.25">
      <c r="A72" s="1001" t="s">
        <v>80</v>
      </c>
      <c r="B72" s="352" t="s">
        <v>81</v>
      </c>
      <c r="C72" s="406"/>
      <c r="D72" s="369"/>
      <c r="E72" s="406"/>
      <c r="F72" s="386"/>
      <c r="G72" s="717"/>
      <c r="H72" s="49"/>
    </row>
    <row r="73" spans="1:9" s="718" customFormat="1" x14ac:dyDescent="0.25">
      <c r="A73" s="1002" t="s">
        <v>790</v>
      </c>
      <c r="B73" s="715"/>
      <c r="C73" s="716"/>
      <c r="D73" s="386"/>
      <c r="E73" s="716">
        <f t="shared" ref="E73:E78" si="7">F73-D73</f>
        <v>1887600</v>
      </c>
      <c r="F73" s="386">
        <v>1887600</v>
      </c>
      <c r="G73" s="821">
        <v>1201200</v>
      </c>
      <c r="H73" s="768"/>
      <c r="I73" s="768"/>
    </row>
    <row r="74" spans="1:9" s="718" customFormat="1" x14ac:dyDescent="0.25">
      <c r="A74" s="1002" t="s">
        <v>791</v>
      </c>
      <c r="B74" s="715"/>
      <c r="C74" s="716"/>
      <c r="D74" s="386"/>
      <c r="E74" s="716">
        <f t="shared" si="7"/>
        <v>1372800</v>
      </c>
      <c r="F74" s="386">
        <v>1372800</v>
      </c>
      <c r="G74" s="821">
        <v>686400</v>
      </c>
      <c r="H74" s="768"/>
      <c r="I74" s="768"/>
    </row>
    <row r="75" spans="1:9" s="718" customFormat="1" x14ac:dyDescent="0.25">
      <c r="A75" s="1002" t="s">
        <v>793</v>
      </c>
      <c r="B75" s="715"/>
      <c r="C75" s="716"/>
      <c r="D75" s="386"/>
      <c r="E75" s="716">
        <f t="shared" si="7"/>
        <v>237600</v>
      </c>
      <c r="F75" s="386">
        <v>237600</v>
      </c>
      <c r="G75" s="821">
        <v>118800</v>
      </c>
      <c r="H75" s="768"/>
      <c r="I75" s="768"/>
    </row>
    <row r="76" spans="1:9" s="718" customFormat="1" x14ac:dyDescent="0.25">
      <c r="A76" s="1002" t="s">
        <v>792</v>
      </c>
      <c r="B76" s="715"/>
      <c r="C76" s="716"/>
      <c r="D76" s="386"/>
      <c r="E76" s="716">
        <f t="shared" si="7"/>
        <v>249600</v>
      </c>
      <c r="F76" s="386">
        <v>249600</v>
      </c>
      <c r="G76" s="821"/>
      <c r="H76" s="768"/>
      <c r="I76" s="768"/>
    </row>
    <row r="77" spans="1:9" s="718" customFormat="1" ht="30" customHeight="1" x14ac:dyDescent="0.25">
      <c r="A77" s="1002" t="s">
        <v>906</v>
      </c>
      <c r="B77" s="715"/>
      <c r="C77" s="716"/>
      <c r="D77" s="386"/>
      <c r="E77" s="716">
        <f t="shared" si="7"/>
        <v>171600</v>
      </c>
      <c r="F77" s="386">
        <v>171600</v>
      </c>
      <c r="G77" s="821">
        <v>316800</v>
      </c>
      <c r="H77" s="768"/>
      <c r="I77" s="768"/>
    </row>
    <row r="78" spans="1:9" s="718" customFormat="1" x14ac:dyDescent="0.25">
      <c r="A78" s="1002" t="s">
        <v>903</v>
      </c>
      <c r="B78" s="715"/>
      <c r="C78" s="716"/>
      <c r="D78" s="386"/>
      <c r="E78" s="716">
        <f t="shared" si="7"/>
        <v>561600</v>
      </c>
      <c r="F78" s="386">
        <v>561600</v>
      </c>
      <c r="G78" s="821"/>
      <c r="H78" s="768"/>
      <c r="I78" s="768"/>
    </row>
    <row r="79" spans="1:9" s="718" customFormat="1" ht="30" customHeight="1" x14ac:dyDescent="0.25">
      <c r="A79" s="1002" t="s">
        <v>907</v>
      </c>
      <c r="B79" s="715"/>
      <c r="C79" s="386"/>
      <c r="D79" s="386"/>
      <c r="E79" s="775"/>
      <c r="F79" s="386"/>
      <c r="G79" s="822">
        <v>276000</v>
      </c>
      <c r="H79" s="768"/>
      <c r="I79" s="768"/>
    </row>
    <row r="80" spans="1:9" s="718" customFormat="1" ht="30" customHeight="1" x14ac:dyDescent="0.25">
      <c r="A80" s="1002" t="s">
        <v>908</v>
      </c>
      <c r="B80" s="772"/>
      <c r="C80" s="773"/>
      <c r="D80" s="774"/>
      <c r="E80" s="773"/>
      <c r="F80" s="774"/>
      <c r="G80" s="823">
        <v>277200</v>
      </c>
      <c r="H80" s="768">
        <f>SUM(G73:G80)</f>
        <v>2876400</v>
      </c>
      <c r="I80" s="768" t="s">
        <v>905</v>
      </c>
    </row>
    <row r="81" spans="1:9" ht="30" customHeight="1" x14ac:dyDescent="0.25">
      <c r="A81" s="396" t="s">
        <v>86</v>
      </c>
      <c r="B81" s="397"/>
      <c r="C81" s="398">
        <f>SUM(C41:C80)</f>
        <v>19478336.609999999</v>
      </c>
      <c r="D81" s="398">
        <f>SUM(D41:D80)</f>
        <v>8612359</v>
      </c>
      <c r="E81" s="398">
        <f>SUM(E41:E80)</f>
        <v>17062699</v>
      </c>
      <c r="F81" s="398">
        <f>SUM(F41:F80)</f>
        <v>27386800</v>
      </c>
      <c r="G81" s="779">
        <f>SUM(G42:G80)</f>
        <v>34736640</v>
      </c>
      <c r="H81" s="794">
        <v>27248640</v>
      </c>
      <c r="I81" s="804">
        <f>CHO_MOOE+CHO_CO-H81</f>
        <v>7488000</v>
      </c>
    </row>
    <row r="82" spans="1:9" ht="15" customHeight="1" x14ac:dyDescent="0.25">
      <c r="A82" s="515" t="s">
        <v>88</v>
      </c>
      <c r="B82" s="515"/>
      <c r="C82" s="517"/>
      <c r="D82" s="517"/>
      <c r="E82" s="517"/>
      <c r="F82" s="826"/>
      <c r="G82" s="827"/>
      <c r="H82" s="49"/>
    </row>
    <row r="83" spans="1:9" ht="15" customHeight="1" x14ac:dyDescent="0.25">
      <c r="A83" s="396" t="s">
        <v>112</v>
      </c>
      <c r="B83" s="436"/>
      <c r="C83" s="398">
        <f>SUM(C82:C82)</f>
        <v>0</v>
      </c>
      <c r="D83" s="398">
        <f>SUM(D82:D82)</f>
        <v>0</v>
      </c>
      <c r="E83" s="398">
        <f>SUM(E82:E82)</f>
        <v>0</v>
      </c>
      <c r="F83" s="398">
        <f>SUM(F82:F82)</f>
        <v>0</v>
      </c>
      <c r="G83" s="779">
        <v>0</v>
      </c>
      <c r="H83" s="49">
        <v>0</v>
      </c>
    </row>
    <row r="84" spans="1:9" ht="15" customHeight="1" x14ac:dyDescent="0.25">
      <c r="A84" s="419" t="s">
        <v>113</v>
      </c>
      <c r="B84" s="547"/>
      <c r="C84" s="421">
        <f>+C83+C81+C40</f>
        <v>69958767.870000005</v>
      </c>
      <c r="D84" s="421">
        <f>D40+D81+D83</f>
        <v>33327516.529999997</v>
      </c>
      <c r="E84" s="421">
        <f>E40+E81+E83</f>
        <v>52046314.894000016</v>
      </c>
      <c r="F84" s="421">
        <f>F40+F81+F83</f>
        <v>87085573.424000025</v>
      </c>
      <c r="G84" s="824">
        <f>G40+G81+G83</f>
        <v>100200214.8</v>
      </c>
      <c r="H84" s="49"/>
    </row>
    <row r="85" spans="1:9" x14ac:dyDescent="0.25">
      <c r="A85" s="16"/>
      <c r="B85" s="16"/>
      <c r="C85" s="16"/>
      <c r="D85" s="16"/>
      <c r="E85" s="16"/>
      <c r="F85" s="558"/>
      <c r="G85" s="825"/>
      <c r="H85" s="49"/>
    </row>
    <row r="86" spans="1:9" x14ac:dyDescent="0.25">
      <c r="A86" s="16"/>
      <c r="B86" s="16"/>
      <c r="C86" s="16"/>
      <c r="D86" s="16"/>
      <c r="E86" s="16"/>
      <c r="F86" s="16"/>
      <c r="G86" s="640"/>
      <c r="H86" s="49"/>
    </row>
    <row r="87" spans="1:9" x14ac:dyDescent="0.25">
      <c r="A87" s="16"/>
      <c r="B87" s="16"/>
      <c r="C87" s="16"/>
      <c r="D87" s="16"/>
      <c r="E87" s="16"/>
      <c r="F87" s="16"/>
      <c r="G87" s="640"/>
      <c r="H87" s="49"/>
    </row>
    <row r="88" spans="1:9" x14ac:dyDescent="0.25">
      <c r="A88" s="16"/>
      <c r="B88" s="16"/>
      <c r="C88" s="16"/>
      <c r="D88" s="16"/>
      <c r="E88" s="16"/>
      <c r="F88" s="16"/>
      <c r="G88" s="640"/>
      <c r="H88" s="49"/>
    </row>
    <row r="89" spans="1:9" x14ac:dyDescent="0.25">
      <c r="A89" s="16"/>
      <c r="B89" s="16"/>
      <c r="C89" s="16"/>
      <c r="D89" s="16"/>
      <c r="E89" s="16"/>
      <c r="F89" s="16"/>
      <c r="G89" s="640"/>
      <c r="H89" s="49"/>
    </row>
    <row r="90" spans="1:9" x14ac:dyDescent="0.25">
      <c r="A90" s="16"/>
      <c r="B90" s="16"/>
      <c r="C90" s="16"/>
      <c r="D90" s="16"/>
      <c r="E90" s="16"/>
      <c r="F90" s="16"/>
      <c r="G90" s="640"/>
      <c r="H90" s="49"/>
    </row>
    <row r="91" spans="1:9" x14ac:dyDescent="0.25">
      <c r="A91" s="16"/>
      <c r="B91" s="16"/>
      <c r="C91" s="16"/>
      <c r="D91" s="16"/>
      <c r="E91" s="16"/>
      <c r="F91" s="16"/>
      <c r="G91" s="640"/>
      <c r="H91" s="49"/>
    </row>
    <row r="92" spans="1:9" x14ac:dyDescent="0.25">
      <c r="A92" s="16"/>
      <c r="B92" s="16"/>
      <c r="C92" s="16"/>
      <c r="D92" s="16"/>
      <c r="E92" s="16"/>
      <c r="F92" s="16"/>
      <c r="G92" s="640"/>
      <c r="H92" s="49"/>
    </row>
    <row r="93" spans="1:9" x14ac:dyDescent="0.25">
      <c r="A93" s="16"/>
      <c r="B93" s="16"/>
      <c r="C93" s="16"/>
      <c r="D93" s="16"/>
      <c r="E93" s="16"/>
      <c r="F93" s="16"/>
      <c r="G93" s="640"/>
      <c r="H93" s="49"/>
    </row>
    <row r="94" spans="1:9" x14ac:dyDescent="0.25">
      <c r="A94" s="16"/>
      <c r="B94" s="16"/>
      <c r="C94" s="16"/>
      <c r="D94" s="16"/>
      <c r="E94" s="16"/>
      <c r="F94" s="16"/>
      <c r="G94" s="640"/>
      <c r="H94" s="49"/>
    </row>
    <row r="95" spans="1:9" x14ac:dyDescent="0.25">
      <c r="A95" s="16"/>
      <c r="B95" s="16"/>
      <c r="C95" s="16"/>
      <c r="D95" s="16"/>
      <c r="E95" s="16"/>
      <c r="F95" s="16"/>
      <c r="G95" s="640"/>
      <c r="H95" s="49"/>
    </row>
    <row r="96" spans="1:9" x14ac:dyDescent="0.25">
      <c r="A96" s="16"/>
      <c r="B96" s="16"/>
      <c r="C96" s="16"/>
      <c r="D96" s="16"/>
      <c r="E96" s="16"/>
      <c r="F96" s="16"/>
      <c r="G96" s="640"/>
      <c r="H96" s="49"/>
    </row>
    <row r="97" spans="1:8" x14ac:dyDescent="0.25">
      <c r="A97" s="16"/>
      <c r="B97" s="16"/>
      <c r="C97" s="16"/>
      <c r="D97" s="16"/>
      <c r="E97" s="16"/>
      <c r="F97" s="16"/>
      <c r="G97" s="640"/>
      <c r="H97" s="49"/>
    </row>
    <row r="98" spans="1:8" x14ac:dyDescent="0.25">
      <c r="A98" s="16"/>
      <c r="B98" s="16"/>
      <c r="C98" s="16"/>
      <c r="D98" s="16"/>
      <c r="E98" s="16"/>
      <c r="F98" s="16"/>
      <c r="G98" s="640"/>
      <c r="H98" s="49"/>
    </row>
    <row r="99" spans="1:8" x14ac:dyDescent="0.25">
      <c r="A99" s="16"/>
      <c r="B99" s="16"/>
      <c r="C99" s="16"/>
      <c r="D99" s="16"/>
      <c r="E99" s="16"/>
      <c r="F99" s="16"/>
      <c r="G99" s="640"/>
      <c r="H99" s="49"/>
    </row>
    <row r="100" spans="1:8" ht="38.25" customHeight="1" x14ac:dyDescent="0.25">
      <c r="A100" s="16"/>
      <c r="B100" s="16"/>
      <c r="C100" s="16"/>
      <c r="D100" s="16"/>
      <c r="E100" s="16"/>
      <c r="F100" s="16"/>
      <c r="G100" s="640"/>
      <c r="H100" s="49"/>
    </row>
    <row r="101" spans="1:8" x14ac:dyDescent="0.25">
      <c r="A101" s="16"/>
      <c r="B101" s="16"/>
      <c r="C101" s="16"/>
      <c r="D101" s="16"/>
      <c r="E101" s="16"/>
      <c r="F101" s="16"/>
      <c r="G101" s="640"/>
      <c r="H101" s="568"/>
    </row>
    <row r="102" spans="1:8" x14ac:dyDescent="0.25">
      <c r="A102" s="16"/>
      <c r="B102" s="16"/>
      <c r="C102" s="16"/>
      <c r="D102" s="16"/>
      <c r="E102" s="16"/>
      <c r="F102" s="16"/>
      <c r="G102" s="640"/>
      <c r="H102" s="568"/>
    </row>
    <row r="103" spans="1:8" x14ac:dyDescent="0.25">
      <c r="A103" s="16"/>
      <c r="B103" s="16"/>
      <c r="C103" s="16"/>
      <c r="D103" s="16"/>
      <c r="E103" s="16"/>
      <c r="F103" s="16"/>
      <c r="G103" s="640"/>
      <c r="H103" s="568"/>
    </row>
    <row r="104" spans="1:8" x14ac:dyDescent="0.25">
      <c r="A104" s="16"/>
      <c r="B104" s="16"/>
      <c r="C104" s="16"/>
      <c r="D104" s="16"/>
      <c r="E104" s="16"/>
      <c r="F104" s="16"/>
      <c r="G104" s="640"/>
      <c r="H104" s="568"/>
    </row>
    <row r="105" spans="1:8" x14ac:dyDescent="0.25">
      <c r="A105" s="16"/>
      <c r="B105" s="16"/>
      <c r="C105" s="16"/>
      <c r="D105" s="16"/>
      <c r="E105" s="16"/>
      <c r="F105" s="16"/>
      <c r="G105" s="640"/>
      <c r="H105" s="568"/>
    </row>
    <row r="106" spans="1:8" x14ac:dyDescent="0.25">
      <c r="A106" s="16"/>
      <c r="B106" s="16"/>
      <c r="C106" s="16"/>
      <c r="D106" s="16"/>
      <c r="E106" s="16"/>
      <c r="F106" s="16"/>
      <c r="G106" s="640"/>
      <c r="H106" s="568"/>
    </row>
    <row r="107" spans="1:8" x14ac:dyDescent="0.25">
      <c r="A107" s="16"/>
      <c r="B107" s="16"/>
      <c r="C107" s="16"/>
      <c r="D107" s="16"/>
      <c r="E107" s="16"/>
      <c r="F107" s="16"/>
      <c r="G107" s="640"/>
      <c r="H107" s="568"/>
    </row>
    <row r="108" spans="1:8" x14ac:dyDescent="0.25">
      <c r="A108" s="16"/>
      <c r="B108" s="16"/>
      <c r="C108" s="16"/>
      <c r="D108" s="16"/>
      <c r="E108" s="16"/>
      <c r="F108" s="16"/>
      <c r="G108" s="640"/>
      <c r="H108" s="568"/>
    </row>
    <row r="109" spans="1:8" x14ac:dyDescent="0.25">
      <c r="A109" s="16"/>
      <c r="B109" s="16"/>
      <c r="C109" s="16"/>
      <c r="D109" s="16"/>
      <c r="E109" s="16"/>
      <c r="F109" s="16"/>
      <c r="G109" s="640"/>
      <c r="H109" s="568"/>
    </row>
    <row r="110" spans="1:8" x14ac:dyDescent="0.25">
      <c r="A110" s="16"/>
      <c r="B110" s="16"/>
      <c r="C110" s="16"/>
      <c r="D110" s="16"/>
      <c r="E110" s="16"/>
      <c r="F110" s="16"/>
      <c r="G110" s="640"/>
      <c r="H110" s="568"/>
    </row>
    <row r="111" spans="1:8" x14ac:dyDescent="0.25">
      <c r="A111" s="16"/>
      <c r="B111" s="16"/>
      <c r="C111" s="16"/>
      <c r="D111" s="16"/>
      <c r="E111" s="16"/>
      <c r="F111" s="16"/>
      <c r="G111" s="640"/>
      <c r="H111" s="568"/>
    </row>
    <row r="112" spans="1:8" x14ac:dyDescent="0.25">
      <c r="A112" s="16"/>
      <c r="B112" s="16"/>
      <c r="C112" s="16"/>
      <c r="D112" s="16"/>
      <c r="E112" s="16"/>
      <c r="F112" s="16"/>
      <c r="G112" s="640"/>
      <c r="H112" s="568"/>
    </row>
    <row r="113" spans="1:8" x14ac:dyDescent="0.25">
      <c r="A113" s="16"/>
      <c r="B113" s="16"/>
      <c r="C113" s="16"/>
      <c r="D113" s="16"/>
      <c r="E113" s="16"/>
      <c r="F113" s="16"/>
      <c r="G113" s="640"/>
      <c r="H113" s="568"/>
    </row>
    <row r="114" spans="1:8" x14ac:dyDescent="0.25">
      <c r="A114" s="16"/>
      <c r="B114" s="353"/>
      <c r="C114" s="16"/>
      <c r="D114" s="16"/>
      <c r="E114" s="16"/>
      <c r="F114" s="16"/>
      <c r="G114" s="640"/>
      <c r="H114" s="568"/>
    </row>
    <row r="115" spans="1:8" x14ac:dyDescent="0.25">
      <c r="A115" s="16"/>
      <c r="B115" s="16"/>
      <c r="C115" s="16"/>
      <c r="D115" s="16"/>
      <c r="E115" s="16"/>
      <c r="F115" s="16"/>
      <c r="G115" s="640"/>
      <c r="H115" s="568"/>
    </row>
    <row r="116" spans="1:8" x14ac:dyDescent="0.25">
      <c r="A116" s="16"/>
      <c r="B116" s="16"/>
      <c r="C116" s="16"/>
      <c r="D116" s="16"/>
      <c r="E116" s="16"/>
      <c r="F116" s="16"/>
      <c r="G116" s="640"/>
      <c r="H116" s="568"/>
    </row>
    <row r="117" spans="1:8" x14ac:dyDescent="0.25">
      <c r="A117" s="16"/>
      <c r="B117" s="16"/>
      <c r="C117" s="16"/>
      <c r="D117" s="16"/>
      <c r="E117" s="16"/>
      <c r="F117" s="16"/>
      <c r="G117" s="640"/>
      <c r="H117" s="568"/>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0" firstPageNumber="227" fitToHeight="0" orientation="portrait" useFirstPageNumber="1" horizontalDpi="360" verticalDpi="360" r:id="rId1"/>
  <headerFooter scaleWithDoc="0">
    <oddFooter>&amp;C&amp;"Candara,Regular"&amp;10Page &amp;"Candara,Bold"&amp;P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pageSetUpPr fitToPage="1"/>
  </sheetPr>
  <dimension ref="A1:I104"/>
  <sheetViews>
    <sheetView tabSelected="1" view="pageBreakPreview" topLeftCell="A4" zoomScale="115" zoomScaleNormal="115" zoomScaleSheetLayoutView="115" workbookViewId="0">
      <pane xSplit="2" ySplit="5" topLeftCell="C70" activePane="bottomRight" state="frozen"/>
      <selection activeCell="C40" sqref="C40"/>
      <selection pane="topRight" activeCell="C40" sqref="C40"/>
      <selection pane="bottomLeft" activeCell="C40" sqref="C40"/>
      <selection pane="bottomRight" activeCell="H71" sqref="H71"/>
    </sheetView>
  </sheetViews>
  <sheetFormatPr defaultColWidth="9.140625" defaultRowHeight="15" x14ac:dyDescent="0.25"/>
  <cols>
    <col min="1" max="1" width="37.7109375" style="41" customWidth="1"/>
    <col min="2" max="2" width="12.7109375" style="41" customWidth="1"/>
    <col min="3" max="4" width="14.7109375" style="41" customWidth="1"/>
    <col min="5" max="6" width="16" style="41" bestFit="1" customWidth="1"/>
    <col min="7" max="7" width="15.7109375" style="41" bestFit="1" customWidth="1"/>
    <col min="8" max="8" width="16" style="279" customWidth="1"/>
    <col min="9" max="9" width="14"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153</v>
      </c>
      <c r="B4" s="1075"/>
      <c r="C4" s="1075"/>
      <c r="D4" s="1075"/>
      <c r="E4" s="1075"/>
      <c r="F4" s="1075"/>
      <c r="G4" s="1075"/>
    </row>
    <row r="6" spans="1:9" s="43" customFormat="1" ht="12" x14ac:dyDescent="0.2">
      <c r="A6" s="1099" t="s">
        <v>1</v>
      </c>
      <c r="B6" s="1099" t="s">
        <v>2</v>
      </c>
      <c r="C6" s="1099" t="s">
        <v>310</v>
      </c>
      <c r="D6" s="1100" t="s">
        <v>307</v>
      </c>
      <c r="E6" s="1100"/>
      <c r="F6" s="1100"/>
      <c r="G6" s="1099" t="s">
        <v>311</v>
      </c>
      <c r="H6" s="357"/>
      <c r="I6" s="1046"/>
    </row>
    <row r="7" spans="1:9" s="43" customFormat="1" ht="12" x14ac:dyDescent="0.2">
      <c r="A7" s="1099"/>
      <c r="B7" s="1099"/>
      <c r="C7" s="1099"/>
      <c r="D7" s="1100"/>
      <c r="E7" s="1100"/>
      <c r="F7" s="1100"/>
      <c r="G7" s="1099"/>
      <c r="H7" s="357"/>
      <c r="I7" s="1046"/>
    </row>
    <row r="8" spans="1:9" s="43" customFormat="1" ht="24" x14ac:dyDescent="0.2">
      <c r="A8" s="1099"/>
      <c r="B8" s="1099"/>
      <c r="C8" s="1099"/>
      <c r="D8" s="359" t="s">
        <v>308</v>
      </c>
      <c r="E8" s="359" t="s">
        <v>309</v>
      </c>
      <c r="F8" s="359" t="s">
        <v>3</v>
      </c>
      <c r="G8" s="1099"/>
      <c r="H8" s="357"/>
      <c r="I8" s="1046"/>
    </row>
    <row r="9" spans="1:9" s="70" customFormat="1" ht="11.25" x14ac:dyDescent="0.25">
      <c r="A9" s="360">
        <v>1</v>
      </c>
      <c r="B9" s="360">
        <v>2</v>
      </c>
      <c r="C9" s="360">
        <v>3</v>
      </c>
      <c r="D9" s="360">
        <v>4</v>
      </c>
      <c r="E9" s="360">
        <v>5</v>
      </c>
      <c r="F9" s="360">
        <v>6</v>
      </c>
      <c r="G9" s="360">
        <v>7</v>
      </c>
      <c r="H9" s="567" t="s">
        <v>497</v>
      </c>
      <c r="I9" s="1047"/>
    </row>
    <row r="10" spans="1:9" ht="15" customHeight="1" x14ac:dyDescent="0.25">
      <c r="A10" s="429" t="s">
        <v>4</v>
      </c>
      <c r="B10" s="362"/>
      <c r="C10" s="430"/>
      <c r="D10" s="363"/>
      <c r="E10" s="430"/>
      <c r="F10" s="363"/>
      <c r="G10" s="431"/>
      <c r="H10" s="17">
        <v>14</v>
      </c>
    </row>
    <row r="11" spans="1:9" ht="15" customHeight="1" x14ac:dyDescent="0.25">
      <c r="A11" s="403" t="s">
        <v>5</v>
      </c>
      <c r="B11" s="365"/>
      <c r="C11" s="404"/>
      <c r="D11" s="366"/>
      <c r="E11" s="404"/>
      <c r="F11" s="366"/>
      <c r="G11" s="405"/>
      <c r="H11" s="568"/>
    </row>
    <row r="12" spans="1:9" ht="15" customHeight="1" x14ac:dyDescent="0.25">
      <c r="A12" s="373" t="str">
        <f>"Salaries and Wages - Regular (" &amp; H10 &amp; ")"</f>
        <v>Salaries and Wages - Regular (14)</v>
      </c>
      <c r="B12" s="352" t="s">
        <v>6</v>
      </c>
      <c r="C12" s="406">
        <v>4314320.91</v>
      </c>
      <c r="D12" s="369">
        <v>2375395.9</v>
      </c>
      <c r="E12" s="406">
        <f>F12-D12</f>
        <v>3437448.4999999995</v>
      </c>
      <c r="F12" s="369">
        <v>5812844.3999999994</v>
      </c>
      <c r="G12" s="408">
        <f>H12+I12</f>
        <v>6162621.6000000015</v>
      </c>
      <c r="H12" s="569">
        <v>5994621.6000000015</v>
      </c>
      <c r="I12" s="49">
        <f>I14/2</f>
        <v>168000</v>
      </c>
    </row>
    <row r="13" spans="1:9" ht="15" customHeight="1" x14ac:dyDescent="0.25">
      <c r="A13" s="403" t="s">
        <v>7</v>
      </c>
      <c r="B13" s="365"/>
      <c r="C13" s="404"/>
      <c r="D13" s="366"/>
      <c r="E13" s="404"/>
      <c r="F13" s="366"/>
      <c r="G13" s="405"/>
      <c r="H13" s="568"/>
    </row>
    <row r="14" spans="1:9" ht="15" customHeight="1" x14ac:dyDescent="0.25">
      <c r="A14" s="373" t="s">
        <v>8</v>
      </c>
      <c r="B14" s="352" t="s">
        <v>9</v>
      </c>
      <c r="C14" s="406">
        <v>288000</v>
      </c>
      <c r="D14" s="369">
        <v>144000</v>
      </c>
      <c r="E14" s="406">
        <f t="shared" ref="E14:E17" si="0">F14-D14</f>
        <v>192000</v>
      </c>
      <c r="F14" s="369">
        <v>336000</v>
      </c>
      <c r="G14" s="408">
        <f>param_pera*CSWDO_PLATILLA_ITEMS*12</f>
        <v>336000</v>
      </c>
      <c r="H14" s="568"/>
      <c r="I14" s="49">
        <v>336000</v>
      </c>
    </row>
    <row r="15" spans="1:9" ht="15" customHeight="1" x14ac:dyDescent="0.25">
      <c r="A15" s="373" t="s">
        <v>11</v>
      </c>
      <c r="B15" s="352" t="s">
        <v>12</v>
      </c>
      <c r="C15" s="406">
        <v>81000</v>
      </c>
      <c r="D15" s="369">
        <v>40500</v>
      </c>
      <c r="E15" s="406">
        <f t="shared" si="0"/>
        <v>40500</v>
      </c>
      <c r="F15" s="369">
        <v>81000</v>
      </c>
      <c r="G15" s="408">
        <f>H15*12</f>
        <v>81000</v>
      </c>
      <c r="H15" s="568">
        <v>6750</v>
      </c>
    </row>
    <row r="16" spans="1:9" ht="15" customHeight="1" x14ac:dyDescent="0.25">
      <c r="A16" s="373" t="s">
        <v>13</v>
      </c>
      <c r="B16" s="352" t="s">
        <v>14</v>
      </c>
      <c r="C16" s="406">
        <v>81000</v>
      </c>
      <c r="D16" s="369">
        <v>40500</v>
      </c>
      <c r="E16" s="406">
        <f t="shared" si="0"/>
        <v>40500</v>
      </c>
      <c r="F16" s="369">
        <v>81000</v>
      </c>
      <c r="G16" s="408">
        <f>H16*12</f>
        <v>81000</v>
      </c>
      <c r="H16" s="568">
        <v>6750</v>
      </c>
    </row>
    <row r="17" spans="1:9" ht="15" customHeight="1" x14ac:dyDescent="0.25">
      <c r="A17" s="373" t="s">
        <v>15</v>
      </c>
      <c r="B17" s="352" t="s">
        <v>16</v>
      </c>
      <c r="C17" s="406">
        <v>72000</v>
      </c>
      <c r="D17" s="369">
        <v>72000</v>
      </c>
      <c r="E17" s="406">
        <f t="shared" si="0"/>
        <v>12000</v>
      </c>
      <c r="F17" s="369">
        <v>84000</v>
      </c>
      <c r="G17" s="408">
        <f>param_uniform*CSWDO_PLATILLA_ITEMS</f>
        <v>84000</v>
      </c>
      <c r="H17" s="568"/>
    </row>
    <row r="18" spans="1:9" ht="15" customHeight="1" x14ac:dyDescent="0.25">
      <c r="A18" s="373" t="s">
        <v>10</v>
      </c>
      <c r="B18" s="352" t="s">
        <v>175</v>
      </c>
      <c r="C18" s="406"/>
      <c r="D18" s="369"/>
      <c r="E18" s="406"/>
      <c r="F18" s="369"/>
      <c r="G18" s="408"/>
      <c r="H18" s="568"/>
    </row>
    <row r="19" spans="1:9" ht="15" customHeight="1" x14ac:dyDescent="0.25">
      <c r="A19" s="434" t="s">
        <v>337</v>
      </c>
      <c r="B19" s="352"/>
      <c r="C19" s="406">
        <v>140384.97</v>
      </c>
      <c r="D19" s="369">
        <v>155280.6</v>
      </c>
      <c r="E19" s="406">
        <f>F19-D19</f>
        <v>404719.4</v>
      </c>
      <c r="F19" s="369">
        <v>560000</v>
      </c>
      <c r="G19" s="408">
        <v>527024.96</v>
      </c>
      <c r="H19" s="570" t="s">
        <v>590</v>
      </c>
    </row>
    <row r="20" spans="1:9" ht="15" customHeight="1" x14ac:dyDescent="0.25">
      <c r="A20" s="373" t="s">
        <v>126</v>
      </c>
      <c r="B20" s="352" t="s">
        <v>125</v>
      </c>
      <c r="C20" s="406"/>
      <c r="D20" s="369"/>
      <c r="E20" s="406"/>
      <c r="F20" s="369"/>
      <c r="G20" s="408"/>
      <c r="H20" s="568"/>
    </row>
    <row r="21" spans="1:9" ht="15" customHeight="1" x14ac:dyDescent="0.25">
      <c r="A21" s="373" t="s">
        <v>17</v>
      </c>
      <c r="B21" s="352" t="s">
        <v>18</v>
      </c>
      <c r="C21" s="406">
        <v>381320</v>
      </c>
      <c r="D21" s="369"/>
      <c r="E21" s="406">
        <f t="shared" ref="E21:E22" si="1">F21-D21</f>
        <v>484403.69999999995</v>
      </c>
      <c r="F21" s="369">
        <v>484403.69999999995</v>
      </c>
      <c r="G21" s="408">
        <f>H12/12+I21</f>
        <v>583551.80000000005</v>
      </c>
      <c r="H21" s="568"/>
      <c r="I21" s="49">
        <f>I14/4</f>
        <v>84000</v>
      </c>
    </row>
    <row r="22" spans="1:9" ht="15" customHeight="1" x14ac:dyDescent="0.25">
      <c r="A22" s="373" t="s">
        <v>19</v>
      </c>
      <c r="B22" s="352" t="s">
        <v>20</v>
      </c>
      <c r="C22" s="406">
        <v>60000</v>
      </c>
      <c r="D22" s="369"/>
      <c r="E22" s="406">
        <f t="shared" si="1"/>
        <v>70000</v>
      </c>
      <c r="F22" s="369">
        <v>70000</v>
      </c>
      <c r="G22" s="408">
        <f>param_cash_gift*CSWDO_PLATILLA_ITEMS</f>
        <v>70000</v>
      </c>
      <c r="H22" s="568"/>
    </row>
    <row r="23" spans="1:9" ht="15" customHeight="1" x14ac:dyDescent="0.25">
      <c r="A23" s="403" t="s">
        <v>21</v>
      </c>
      <c r="B23" s="365"/>
      <c r="C23" s="404"/>
      <c r="D23" s="366"/>
      <c r="E23" s="406"/>
      <c r="F23" s="366"/>
      <c r="G23" s="405"/>
      <c r="H23" s="568"/>
    </row>
    <row r="24" spans="1:9" ht="15" customHeight="1" x14ac:dyDescent="0.25">
      <c r="A24" s="373" t="s">
        <v>22</v>
      </c>
      <c r="B24" s="352" t="s">
        <v>23</v>
      </c>
      <c r="C24" s="406">
        <v>540597.71</v>
      </c>
      <c r="D24" s="369">
        <v>285327.88</v>
      </c>
      <c r="E24" s="406">
        <f t="shared" ref="E24:E27" si="2">F24-D24</f>
        <v>412213.44799999986</v>
      </c>
      <c r="F24" s="369">
        <v>697541.32799999986</v>
      </c>
      <c r="G24" s="408">
        <f>H12*12%</f>
        <v>719354.59200000018</v>
      </c>
      <c r="H24" s="568"/>
    </row>
    <row r="25" spans="1:9" ht="15" customHeight="1" x14ac:dyDescent="0.25">
      <c r="A25" s="373" t="s">
        <v>24</v>
      </c>
      <c r="B25" s="352" t="s">
        <v>25</v>
      </c>
      <c r="C25" s="406">
        <v>14400</v>
      </c>
      <c r="D25" s="369">
        <v>7200</v>
      </c>
      <c r="E25" s="406">
        <f t="shared" si="2"/>
        <v>18000</v>
      </c>
      <c r="F25" s="369">
        <v>25200</v>
      </c>
      <c r="G25" s="408">
        <f>param_pagibig*CSWDO_PLATILLA_ITEMS*12</f>
        <v>25200</v>
      </c>
      <c r="H25" s="568"/>
    </row>
    <row r="26" spans="1:9" ht="15" customHeight="1" x14ac:dyDescent="0.25">
      <c r="A26" s="373" t="s">
        <v>26</v>
      </c>
      <c r="B26" s="352" t="s">
        <v>27</v>
      </c>
      <c r="C26" s="406">
        <v>60043.49</v>
      </c>
      <c r="D26" s="369">
        <v>45047.35</v>
      </c>
      <c r="E26" s="406">
        <f t="shared" si="2"/>
        <v>84952.65</v>
      </c>
      <c r="F26" s="369">
        <v>130000</v>
      </c>
      <c r="G26" s="408">
        <f>ROUND(H26+(H26*0.1), -1)</f>
        <v>123970</v>
      </c>
      <c r="H26" s="568">
        <v>112702.20000000003</v>
      </c>
    </row>
    <row r="27" spans="1:9" ht="15" customHeight="1" x14ac:dyDescent="0.25">
      <c r="A27" s="373" t="s">
        <v>28</v>
      </c>
      <c r="B27" s="352" t="s">
        <v>29</v>
      </c>
      <c r="C27" s="406">
        <v>14400</v>
      </c>
      <c r="D27" s="369">
        <v>7200</v>
      </c>
      <c r="E27" s="406">
        <f t="shared" si="2"/>
        <v>18000</v>
      </c>
      <c r="F27" s="369">
        <v>25200</v>
      </c>
      <c r="G27" s="408">
        <f>param_ecc*CSWDO_PLATILLA_ITEMS*12</f>
        <v>25200</v>
      </c>
      <c r="H27" s="568"/>
    </row>
    <row r="28" spans="1:9" ht="15" customHeight="1" x14ac:dyDescent="0.25">
      <c r="A28" s="403" t="s">
        <v>30</v>
      </c>
      <c r="B28" s="365"/>
      <c r="C28" s="404"/>
      <c r="D28" s="366"/>
      <c r="E28" s="406"/>
      <c r="F28" s="366"/>
      <c r="G28" s="405"/>
      <c r="H28" s="568"/>
    </row>
    <row r="29" spans="1:9" ht="15" customHeight="1" x14ac:dyDescent="0.25">
      <c r="A29" s="373" t="s">
        <v>30</v>
      </c>
      <c r="B29" s="352" t="s">
        <v>33</v>
      </c>
      <c r="C29" s="406"/>
      <c r="D29" s="369"/>
      <c r="E29" s="571"/>
      <c r="F29" s="572"/>
      <c r="G29" s="369"/>
      <c r="H29" s="573">
        <f>SUM(G29:G36)</f>
        <v>738551.8</v>
      </c>
    </row>
    <row r="30" spans="1:9" ht="15" customHeight="1" x14ac:dyDescent="0.25">
      <c r="A30" s="434" t="s">
        <v>332</v>
      </c>
      <c r="B30" s="352"/>
      <c r="C30" s="406">
        <v>381320</v>
      </c>
      <c r="D30" s="369">
        <v>396942</v>
      </c>
      <c r="E30" s="406">
        <f t="shared" ref="E30:E33" si="3">F30-D30</f>
        <v>87461.699999999953</v>
      </c>
      <c r="F30" s="369">
        <v>484403.69999999995</v>
      </c>
      <c r="G30" s="408">
        <f>H12/12+I30</f>
        <v>583551.80000000005</v>
      </c>
      <c r="H30" s="568"/>
      <c r="I30" s="49">
        <f>I14/4</f>
        <v>84000</v>
      </c>
    </row>
    <row r="31" spans="1:9" ht="15" customHeight="1" x14ac:dyDescent="0.25">
      <c r="A31" s="434" t="s">
        <v>333</v>
      </c>
      <c r="B31" s="352"/>
      <c r="C31" s="406">
        <v>60000</v>
      </c>
      <c r="D31" s="369"/>
      <c r="E31" s="406">
        <f t="shared" si="3"/>
        <v>70000</v>
      </c>
      <c r="F31" s="369">
        <v>70000</v>
      </c>
      <c r="G31" s="408">
        <f>param_pei*CSWDO_PLATILLA_ITEMS</f>
        <v>70000</v>
      </c>
      <c r="H31" s="568"/>
    </row>
    <row r="32" spans="1:9" ht="30" customHeight="1" x14ac:dyDescent="0.25">
      <c r="A32" s="434" t="s">
        <v>649</v>
      </c>
      <c r="B32" s="352"/>
      <c r="C32" s="406"/>
      <c r="D32" s="369"/>
      <c r="E32" s="406">
        <f t="shared" si="3"/>
        <v>70000</v>
      </c>
      <c r="F32" s="369">
        <v>70000</v>
      </c>
      <c r="G32" s="408">
        <f>param_pbb*CSWDO_PLATILLA_ITEMS</f>
        <v>70000</v>
      </c>
      <c r="H32" s="568"/>
    </row>
    <row r="33" spans="1:9" ht="15" customHeight="1" x14ac:dyDescent="0.25">
      <c r="A33" s="434" t="s">
        <v>334</v>
      </c>
      <c r="B33" s="352"/>
      <c r="C33" s="406">
        <v>5000</v>
      </c>
      <c r="D33" s="369"/>
      <c r="E33" s="406">
        <f t="shared" si="3"/>
        <v>15000</v>
      </c>
      <c r="F33" s="369">
        <v>15000</v>
      </c>
      <c r="G33" s="408">
        <v>15000</v>
      </c>
      <c r="H33" s="573"/>
    </row>
    <row r="34" spans="1:9" ht="15" customHeight="1" x14ac:dyDescent="0.25">
      <c r="A34" s="513" t="s">
        <v>650</v>
      </c>
      <c r="B34" s="479"/>
      <c r="C34" s="381">
        <v>300000</v>
      </c>
      <c r="D34" s="381"/>
      <c r="E34" s="381"/>
      <c r="F34" s="381"/>
      <c r="G34" s="381"/>
      <c r="H34" s="375"/>
    </row>
    <row r="35" spans="1:9" ht="15" customHeight="1" x14ac:dyDescent="0.25">
      <c r="A35" s="376" t="s">
        <v>652</v>
      </c>
      <c r="B35" s="352"/>
      <c r="C35" s="369"/>
      <c r="D35" s="369"/>
      <c r="E35" s="369"/>
      <c r="F35" s="369"/>
      <c r="G35" s="369"/>
      <c r="H35" s="375"/>
    </row>
    <row r="36" spans="1:9" ht="15" customHeight="1" x14ac:dyDescent="0.25">
      <c r="A36" s="378" t="s">
        <v>653</v>
      </c>
      <c r="B36" s="379"/>
      <c r="C36" s="380">
        <v>120000</v>
      </c>
      <c r="D36" s="380"/>
      <c r="E36" s="381"/>
      <c r="F36" s="380"/>
      <c r="G36" s="380"/>
      <c r="H36" s="375"/>
    </row>
    <row r="37" spans="1:9" s="44" customFormat="1" ht="15" customHeight="1" x14ac:dyDescent="0.25">
      <c r="A37" s="396" t="s">
        <v>34</v>
      </c>
      <c r="B37" s="397"/>
      <c r="C37" s="398">
        <f>SUM(C11:C36)</f>
        <v>6913787.0800000001</v>
      </c>
      <c r="D37" s="398">
        <f t="shared" ref="D37:F37" si="4">SUM(D11:D36)</f>
        <v>3569393.73</v>
      </c>
      <c r="E37" s="398">
        <f t="shared" si="4"/>
        <v>5457199.398</v>
      </c>
      <c r="F37" s="398">
        <f t="shared" si="4"/>
        <v>9026593.1279999986</v>
      </c>
      <c r="G37" s="398">
        <f>SUM(G11:G36)</f>
        <v>9557474.7520000022</v>
      </c>
      <c r="H37" s="574"/>
      <c r="I37" s="1048"/>
    </row>
    <row r="38" spans="1:9" x14ac:dyDescent="0.25">
      <c r="A38" s="403" t="s">
        <v>44</v>
      </c>
      <c r="B38" s="389"/>
      <c r="C38" s="366"/>
      <c r="D38" s="366"/>
      <c r="E38" s="369"/>
      <c r="F38" s="390"/>
      <c r="G38" s="366"/>
      <c r="H38" s="367"/>
    </row>
    <row r="39" spans="1:9" ht="15" customHeight="1" x14ac:dyDescent="0.25">
      <c r="A39" s="403" t="s">
        <v>55</v>
      </c>
      <c r="B39" s="365"/>
      <c r="C39" s="404"/>
      <c r="D39" s="366"/>
      <c r="E39" s="406"/>
      <c r="F39" s="390"/>
      <c r="G39" s="405"/>
      <c r="H39" s="367"/>
    </row>
    <row r="40" spans="1:9" ht="15" customHeight="1" x14ac:dyDescent="0.25">
      <c r="A40" s="373" t="s">
        <v>56</v>
      </c>
      <c r="B40" s="352" t="s">
        <v>57</v>
      </c>
      <c r="C40" s="406">
        <v>10300</v>
      </c>
      <c r="D40" s="369">
        <v>8000</v>
      </c>
      <c r="E40" s="406">
        <f>F40-D40</f>
        <v>12000</v>
      </c>
      <c r="F40" s="386">
        <v>20000</v>
      </c>
      <c r="G40" s="386">
        <v>20000</v>
      </c>
      <c r="H40" s="367"/>
    </row>
    <row r="41" spans="1:9" ht="15" customHeight="1" x14ac:dyDescent="0.25">
      <c r="A41" s="403" t="s">
        <v>58</v>
      </c>
      <c r="B41" s="365"/>
      <c r="C41" s="404"/>
      <c r="D41" s="366"/>
      <c r="E41" s="406"/>
      <c r="F41" s="390"/>
      <c r="G41" s="390"/>
      <c r="H41" s="367"/>
    </row>
    <row r="42" spans="1:9" ht="15" customHeight="1" x14ac:dyDescent="0.25">
      <c r="A42" s="373" t="s">
        <v>61</v>
      </c>
      <c r="B42" s="352" t="s">
        <v>62</v>
      </c>
      <c r="C42" s="406">
        <v>17001.7</v>
      </c>
      <c r="D42" s="369">
        <v>16404.05</v>
      </c>
      <c r="E42" s="406">
        <f t="shared" ref="E42:E43" si="5">F42-D42</f>
        <v>19595.95</v>
      </c>
      <c r="F42" s="386">
        <v>36000</v>
      </c>
      <c r="G42" s="386">
        <v>36000</v>
      </c>
      <c r="H42" s="41"/>
    </row>
    <row r="43" spans="1:9" ht="15" customHeight="1" x14ac:dyDescent="0.25">
      <c r="A43" s="373" t="s">
        <v>63</v>
      </c>
      <c r="B43" s="352" t="s">
        <v>64</v>
      </c>
      <c r="C43" s="406">
        <v>29000</v>
      </c>
      <c r="D43" s="369">
        <v>12500</v>
      </c>
      <c r="E43" s="406">
        <f t="shared" si="5"/>
        <v>17500</v>
      </c>
      <c r="F43" s="369">
        <v>30000</v>
      </c>
      <c r="G43" s="369">
        <v>56000</v>
      </c>
      <c r="H43" s="41"/>
    </row>
    <row r="44" spans="1:9" ht="15" customHeight="1" x14ac:dyDescent="0.25">
      <c r="A44" s="403" t="s">
        <v>74</v>
      </c>
      <c r="B44" s="365"/>
      <c r="C44" s="404"/>
      <c r="D44" s="366"/>
      <c r="E44" s="366"/>
      <c r="F44" s="390"/>
      <c r="G44" s="390"/>
      <c r="H44" s="41"/>
    </row>
    <row r="45" spans="1:9" x14ac:dyDescent="0.25">
      <c r="A45" s="373" t="s">
        <v>895</v>
      </c>
      <c r="B45" s="352" t="s">
        <v>78</v>
      </c>
      <c r="C45" s="406">
        <v>4201440</v>
      </c>
      <c r="D45" s="369">
        <v>1251000</v>
      </c>
      <c r="E45" s="406">
        <f>F45-D45</f>
        <v>3749000</v>
      </c>
      <c r="F45" s="386">
        <v>5000000</v>
      </c>
      <c r="G45" s="717">
        <v>5000000</v>
      </c>
      <c r="H45" s="41"/>
    </row>
    <row r="46" spans="1:9" ht="43.5" customHeight="1" x14ac:dyDescent="0.25">
      <c r="A46" s="434" t="s">
        <v>896</v>
      </c>
      <c r="B46" s="352"/>
      <c r="C46" s="406">
        <v>13520</v>
      </c>
      <c r="D46" s="369">
        <v>9600</v>
      </c>
      <c r="E46" s="406">
        <f>F46-D46</f>
        <v>40400</v>
      </c>
      <c r="F46" s="386">
        <v>50000</v>
      </c>
      <c r="G46" s="386">
        <v>200000</v>
      </c>
      <c r="H46" s="41"/>
    </row>
    <row r="47" spans="1:9" ht="15" customHeight="1" x14ac:dyDescent="0.25">
      <c r="A47" s="434" t="s">
        <v>897</v>
      </c>
      <c r="B47" s="352"/>
      <c r="C47" s="406"/>
      <c r="D47" s="366"/>
      <c r="E47" s="406"/>
      <c r="F47" s="386"/>
      <c r="G47" s="408">
        <v>200000</v>
      </c>
      <c r="H47" s="41"/>
    </row>
    <row r="48" spans="1:9" ht="15" customHeight="1" x14ac:dyDescent="0.25">
      <c r="A48" s="403" t="s">
        <v>79</v>
      </c>
      <c r="B48" s="365"/>
      <c r="C48" s="404"/>
      <c r="D48" s="369"/>
      <c r="E48" s="406"/>
      <c r="F48" s="390"/>
      <c r="G48" s="405"/>
      <c r="H48" s="41"/>
    </row>
    <row r="49" spans="1:8" ht="15" customHeight="1" x14ac:dyDescent="0.25">
      <c r="A49" s="373" t="s">
        <v>80</v>
      </c>
      <c r="B49" s="352" t="s">
        <v>81</v>
      </c>
      <c r="C49" s="406">
        <v>614143</v>
      </c>
      <c r="D49" s="369">
        <v>355253.13</v>
      </c>
      <c r="E49" s="406">
        <f>F49-D49</f>
        <v>394746.87</v>
      </c>
      <c r="F49" s="386">
        <v>750000</v>
      </c>
      <c r="G49" s="408">
        <v>750000</v>
      </c>
      <c r="H49" s="49">
        <v>750000</v>
      </c>
    </row>
    <row r="50" spans="1:8" ht="15" customHeight="1" x14ac:dyDescent="0.25">
      <c r="A50" s="403" t="s">
        <v>351</v>
      </c>
      <c r="B50" s="365"/>
      <c r="C50" s="404"/>
      <c r="D50" s="369"/>
      <c r="E50" s="406"/>
      <c r="F50" s="390"/>
      <c r="G50" s="405"/>
      <c r="H50" s="41"/>
    </row>
    <row r="51" spans="1:8" ht="15" customHeight="1" x14ac:dyDescent="0.25">
      <c r="A51" s="373" t="s">
        <v>141</v>
      </c>
      <c r="B51" s="352" t="s">
        <v>181</v>
      </c>
      <c r="C51" s="406"/>
      <c r="D51" s="363"/>
      <c r="E51" s="406"/>
      <c r="F51" s="386"/>
      <c r="G51" s="408"/>
      <c r="H51" s="41"/>
    </row>
    <row r="52" spans="1:8" ht="15" customHeight="1" x14ac:dyDescent="0.25">
      <c r="A52" s="403" t="s">
        <v>35</v>
      </c>
      <c r="B52" s="362"/>
      <c r="C52" s="430"/>
      <c r="D52" s="369"/>
      <c r="E52" s="363"/>
      <c r="F52" s="525"/>
      <c r="G52" s="431"/>
      <c r="H52" s="41"/>
    </row>
    <row r="53" spans="1:8" ht="15" customHeight="1" x14ac:dyDescent="0.25">
      <c r="A53" s="373" t="s">
        <v>625</v>
      </c>
      <c r="B53" s="352" t="s">
        <v>186</v>
      </c>
      <c r="C53" s="406"/>
      <c r="D53" s="369"/>
      <c r="E53" s="369"/>
      <c r="F53" s="386"/>
      <c r="G53" s="386"/>
      <c r="H53" s="46">
        <f>SUM(G53:G56)</f>
        <v>57400000</v>
      </c>
    </row>
    <row r="54" spans="1:8" ht="25.5" x14ac:dyDescent="0.25">
      <c r="A54" s="434" t="s">
        <v>900</v>
      </c>
      <c r="B54" s="352"/>
      <c r="C54" s="406">
        <v>34800000</v>
      </c>
      <c r="D54" s="369">
        <v>25093045</v>
      </c>
      <c r="E54" s="406">
        <f>F54-D54</f>
        <v>19461540</v>
      </c>
      <c r="F54" s="386">
        <v>44554585</v>
      </c>
      <c r="G54" s="386">
        <v>56500000</v>
      </c>
      <c r="H54" s="41"/>
    </row>
    <row r="55" spans="1:8" ht="15" customHeight="1" x14ac:dyDescent="0.25">
      <c r="A55" s="434" t="s">
        <v>316</v>
      </c>
      <c r="B55" s="377"/>
      <c r="C55" s="406">
        <v>791200</v>
      </c>
      <c r="D55" s="369">
        <v>457700</v>
      </c>
      <c r="E55" s="406">
        <f t="shared" ref="E55:E57" si="6">F55-D55</f>
        <v>0</v>
      </c>
      <c r="F55" s="369">
        <v>457700</v>
      </c>
      <c r="G55" s="408"/>
      <c r="H55" s="41"/>
    </row>
    <row r="56" spans="1:8" ht="15" customHeight="1" x14ac:dyDescent="0.25">
      <c r="A56" s="434" t="s">
        <v>606</v>
      </c>
      <c r="B56" s="377"/>
      <c r="C56" s="406"/>
      <c r="D56" s="369">
        <v>8350</v>
      </c>
      <c r="E56" s="406">
        <f t="shared" si="6"/>
        <v>891650</v>
      </c>
      <c r="F56" s="386">
        <v>900000</v>
      </c>
      <c r="G56" s="386">
        <v>900000</v>
      </c>
      <c r="H56" s="41"/>
    </row>
    <row r="57" spans="1:8" ht="25.5" x14ac:dyDescent="0.25">
      <c r="A57" s="434" t="s">
        <v>42</v>
      </c>
      <c r="B57" s="352" t="s">
        <v>176</v>
      </c>
      <c r="C57" s="406">
        <v>14878.78</v>
      </c>
      <c r="D57" s="369"/>
      <c r="E57" s="406">
        <f t="shared" si="6"/>
        <v>50000</v>
      </c>
      <c r="F57" s="386">
        <v>50000</v>
      </c>
      <c r="G57" s="386">
        <v>50000</v>
      </c>
      <c r="H57" s="46">
        <f>SUM(G57:G69)</f>
        <v>127350000</v>
      </c>
    </row>
    <row r="58" spans="1:8" ht="15" customHeight="1" x14ac:dyDescent="0.25">
      <c r="A58" s="434" t="s">
        <v>317</v>
      </c>
      <c r="B58" s="352"/>
      <c r="C58" s="369"/>
      <c r="D58" s="369"/>
      <c r="E58" s="833">
        <f t="shared" ref="E58:E67" si="7">F58-D58</f>
        <v>100000</v>
      </c>
      <c r="F58" s="386">
        <v>100000</v>
      </c>
      <c r="G58" s="386">
        <v>100000</v>
      </c>
      <c r="H58" s="41"/>
    </row>
    <row r="59" spans="1:8" ht="15" customHeight="1" x14ac:dyDescent="0.25">
      <c r="A59" s="434" t="s">
        <v>588</v>
      </c>
      <c r="B59" s="352"/>
      <c r="C59" s="369">
        <v>17975</v>
      </c>
      <c r="D59" s="369">
        <v>102616.44</v>
      </c>
      <c r="E59" s="622">
        <f t="shared" si="7"/>
        <v>97383.56</v>
      </c>
      <c r="F59" s="386">
        <v>200000</v>
      </c>
      <c r="G59" s="386">
        <v>200000</v>
      </c>
      <c r="H59" s="41"/>
    </row>
    <row r="60" spans="1:8" ht="15" customHeight="1" x14ac:dyDescent="0.25">
      <c r="A60" s="434" t="s">
        <v>898</v>
      </c>
      <c r="B60" s="352"/>
      <c r="C60" s="369"/>
      <c r="D60" s="622"/>
      <c r="E60" s="369"/>
      <c r="F60" s="386"/>
      <c r="G60" s="386">
        <v>100000</v>
      </c>
      <c r="H60" s="41"/>
    </row>
    <row r="61" spans="1:8" ht="30" customHeight="1" x14ac:dyDescent="0.25">
      <c r="A61" s="434" t="s">
        <v>398</v>
      </c>
      <c r="B61" s="352"/>
      <c r="C61" s="369">
        <v>81800</v>
      </c>
      <c r="D61" s="369">
        <v>100000</v>
      </c>
      <c r="E61" s="369">
        <f t="shared" si="7"/>
        <v>400000</v>
      </c>
      <c r="F61" s="386">
        <v>500000</v>
      </c>
      <c r="G61" s="386">
        <v>500000</v>
      </c>
      <c r="H61" s="41"/>
    </row>
    <row r="62" spans="1:8" ht="15" customHeight="1" x14ac:dyDescent="0.25">
      <c r="A62" s="434" t="s">
        <v>318</v>
      </c>
      <c r="B62" s="352"/>
      <c r="C62" s="406">
        <v>35625728.5</v>
      </c>
      <c r="D62" s="369">
        <v>50000</v>
      </c>
      <c r="E62" s="406">
        <f t="shared" si="7"/>
        <v>39950000</v>
      </c>
      <c r="F62" s="386">
        <v>40000000</v>
      </c>
      <c r="G62" s="386">
        <v>50000000</v>
      </c>
      <c r="H62" s="41"/>
    </row>
    <row r="63" spans="1:8" ht="15" customHeight="1" x14ac:dyDescent="0.25">
      <c r="A63" s="620" t="s">
        <v>319</v>
      </c>
      <c r="B63" s="715"/>
      <c r="C63" s="716">
        <v>200000</v>
      </c>
      <c r="D63" s="386">
        <v>200000</v>
      </c>
      <c r="E63" s="716">
        <f t="shared" si="7"/>
        <v>0</v>
      </c>
      <c r="F63" s="386">
        <v>200000</v>
      </c>
      <c r="G63" s="386">
        <v>200000</v>
      </c>
      <c r="H63" s="41"/>
    </row>
    <row r="64" spans="1:8" ht="30" customHeight="1" x14ac:dyDescent="0.25">
      <c r="A64" s="434" t="s">
        <v>320</v>
      </c>
      <c r="B64" s="352"/>
      <c r="C64" s="406"/>
      <c r="D64" s="369"/>
      <c r="E64" s="406">
        <f t="shared" si="7"/>
        <v>200000</v>
      </c>
      <c r="F64" s="386">
        <v>200000</v>
      </c>
      <c r="G64" s="386">
        <v>200000</v>
      </c>
      <c r="H64" s="41"/>
    </row>
    <row r="65" spans="1:8" ht="17.25" customHeight="1" x14ac:dyDescent="0.25">
      <c r="A65" s="434" t="s">
        <v>899</v>
      </c>
      <c r="B65" s="352"/>
      <c r="C65" s="406"/>
      <c r="D65" s="369"/>
      <c r="E65" s="406"/>
      <c r="F65" s="386"/>
      <c r="G65" s="717">
        <v>1000000</v>
      </c>
      <c r="H65" s="41"/>
    </row>
    <row r="66" spans="1:8" ht="30" customHeight="1" x14ac:dyDescent="0.25">
      <c r="A66" s="434" t="s">
        <v>674</v>
      </c>
      <c r="B66" s="352"/>
      <c r="C66" s="406">
        <v>3000000</v>
      </c>
      <c r="D66" s="369"/>
      <c r="E66" s="406">
        <f t="shared" si="7"/>
        <v>5000000</v>
      </c>
      <c r="F66" s="369">
        <v>5000000</v>
      </c>
      <c r="G66" s="717">
        <v>45000000</v>
      </c>
      <c r="H66" s="41"/>
    </row>
    <row r="67" spans="1:8" x14ac:dyDescent="0.25">
      <c r="A67" s="434" t="s">
        <v>675</v>
      </c>
      <c r="B67" s="352"/>
      <c r="C67" s="406"/>
      <c r="D67" s="369"/>
      <c r="E67" s="406">
        <f t="shared" si="7"/>
        <v>1000000</v>
      </c>
      <c r="F67" s="369">
        <v>1000000</v>
      </c>
      <c r="G67" s="717">
        <v>15000000</v>
      </c>
      <c r="H67" s="46">
        <f>SUM(G38:G65)-50000000</f>
        <v>66012000</v>
      </c>
    </row>
    <row r="68" spans="1:8" x14ac:dyDescent="0.25">
      <c r="A68" s="856" t="s">
        <v>964</v>
      </c>
      <c r="B68" s="352"/>
      <c r="C68" s="406"/>
      <c r="D68" s="369"/>
      <c r="E68" s="406"/>
      <c r="F68" s="369"/>
      <c r="G68" s="717"/>
      <c r="H68" s="46"/>
    </row>
    <row r="69" spans="1:8" x14ac:dyDescent="0.25">
      <c r="A69" s="434" t="s">
        <v>963</v>
      </c>
      <c r="B69" s="352"/>
      <c r="C69" s="406"/>
      <c r="D69" s="369"/>
      <c r="E69" s="406"/>
      <c r="F69" s="369"/>
      <c r="G69" s="717">
        <v>15000000</v>
      </c>
      <c r="H69" s="46">
        <f>SUM(G39:G69)-50000000</f>
        <v>141012000</v>
      </c>
    </row>
    <row r="70" spans="1:8" ht="30" customHeight="1" x14ac:dyDescent="0.25">
      <c r="A70" s="719" t="s">
        <v>802</v>
      </c>
      <c r="B70" s="352"/>
      <c r="C70" s="406"/>
      <c r="D70" s="369"/>
      <c r="E70" s="369"/>
      <c r="F70" s="369"/>
      <c r="G70" s="717"/>
      <c r="H70" s="41"/>
    </row>
    <row r="71" spans="1:8" ht="15" customHeight="1" x14ac:dyDescent="0.25">
      <c r="A71" s="995" t="s">
        <v>42</v>
      </c>
      <c r="B71" s="352" t="s">
        <v>176</v>
      </c>
      <c r="C71" s="406"/>
      <c r="D71" s="369"/>
      <c r="E71" s="406"/>
      <c r="F71" s="369"/>
      <c r="G71" s="717"/>
      <c r="H71" s="41"/>
    </row>
    <row r="72" spans="1:8" x14ac:dyDescent="0.25">
      <c r="A72" s="995" t="s">
        <v>196</v>
      </c>
      <c r="B72" s="352"/>
      <c r="C72" s="406"/>
      <c r="D72" s="369">
        <v>500000</v>
      </c>
      <c r="E72" s="406">
        <f>F72-D72</f>
        <v>6500000</v>
      </c>
      <c r="F72" s="369">
        <v>7000000</v>
      </c>
      <c r="G72" s="369">
        <v>7500000</v>
      </c>
      <c r="H72" s="41"/>
    </row>
    <row r="73" spans="1:8" x14ac:dyDescent="0.25">
      <c r="A73" s="995" t="s">
        <v>766</v>
      </c>
      <c r="B73" s="352"/>
      <c r="C73" s="406"/>
      <c r="D73" s="369"/>
      <c r="E73" s="406">
        <f t="shared" ref="E73:E76" si="8">F73-D73</f>
        <v>25000000</v>
      </c>
      <c r="F73" s="369">
        <v>25000000</v>
      </c>
      <c r="G73" s="369">
        <v>28000000</v>
      </c>
      <c r="H73" s="46"/>
    </row>
    <row r="74" spans="1:8" x14ac:dyDescent="0.25">
      <c r="A74" s="995" t="s">
        <v>767</v>
      </c>
      <c r="B74" s="352"/>
      <c r="C74" s="406"/>
      <c r="D74" s="369">
        <v>400000</v>
      </c>
      <c r="E74" s="406">
        <f t="shared" si="8"/>
        <v>600000</v>
      </c>
      <c r="F74" s="369">
        <v>1000000</v>
      </c>
      <c r="G74" s="369">
        <v>1000000</v>
      </c>
      <c r="H74" s="41"/>
    </row>
    <row r="75" spans="1:8" ht="15" customHeight="1" x14ac:dyDescent="0.25">
      <c r="A75" s="995" t="s">
        <v>768</v>
      </c>
      <c r="B75" s="352"/>
      <c r="C75" s="406"/>
      <c r="D75" s="369"/>
      <c r="E75" s="406">
        <f t="shared" si="8"/>
        <v>500000</v>
      </c>
      <c r="F75" s="369">
        <v>500000</v>
      </c>
      <c r="G75" s="369">
        <v>500000</v>
      </c>
      <c r="H75" s="41"/>
    </row>
    <row r="76" spans="1:8" ht="30" customHeight="1" x14ac:dyDescent="0.25">
      <c r="A76" s="995" t="s">
        <v>769</v>
      </c>
      <c r="B76" s="352"/>
      <c r="C76" s="406"/>
      <c r="D76" s="369"/>
      <c r="E76" s="406">
        <f t="shared" si="8"/>
        <v>400000</v>
      </c>
      <c r="F76" s="369">
        <v>400000</v>
      </c>
      <c r="G76" s="369">
        <v>500000</v>
      </c>
      <c r="H76" s="41"/>
    </row>
    <row r="77" spans="1:8" ht="30" customHeight="1" x14ac:dyDescent="0.25">
      <c r="A77" s="995" t="s">
        <v>845</v>
      </c>
      <c r="B77" s="352"/>
      <c r="C77" s="406"/>
      <c r="D77" s="369"/>
      <c r="E77" s="406"/>
      <c r="F77" s="369"/>
      <c r="G77" s="369">
        <v>3500000</v>
      </c>
      <c r="H77" s="41"/>
    </row>
    <row r="78" spans="1:8" ht="15" customHeight="1" x14ac:dyDescent="0.25">
      <c r="A78" s="995" t="s">
        <v>846</v>
      </c>
      <c r="B78" s="352"/>
      <c r="C78" s="406"/>
      <c r="D78" s="369"/>
      <c r="E78" s="406"/>
      <c r="F78" s="369"/>
      <c r="G78" s="369">
        <v>1000000</v>
      </c>
      <c r="H78" s="41"/>
    </row>
    <row r="79" spans="1:8" ht="15" customHeight="1" x14ac:dyDescent="0.25">
      <c r="A79" s="996" t="s">
        <v>709</v>
      </c>
      <c r="B79" s="352"/>
      <c r="C79" s="406"/>
      <c r="D79" s="369"/>
      <c r="E79" s="406"/>
      <c r="F79" s="369"/>
      <c r="G79" s="369"/>
      <c r="H79" s="41"/>
    </row>
    <row r="80" spans="1:8" x14ac:dyDescent="0.25">
      <c r="A80" s="995" t="s">
        <v>770</v>
      </c>
      <c r="B80" s="352"/>
      <c r="C80" s="406"/>
      <c r="D80" s="369"/>
      <c r="E80" s="406">
        <f>F80-D80</f>
        <v>1000000</v>
      </c>
      <c r="F80" s="369">
        <v>1000000</v>
      </c>
      <c r="G80" s="369"/>
      <c r="H80" s="41"/>
    </row>
    <row r="81" spans="1:9" x14ac:dyDescent="0.25">
      <c r="A81" s="995" t="s">
        <v>771</v>
      </c>
      <c r="B81" s="352"/>
      <c r="C81" s="406">
        <v>5000000</v>
      </c>
      <c r="D81" s="369"/>
      <c r="E81" s="406">
        <f t="shared" ref="E81" si="9">F81-D81</f>
        <v>10000000</v>
      </c>
      <c r="F81" s="369">
        <v>10000000</v>
      </c>
      <c r="G81" s="717">
        <v>1000000</v>
      </c>
      <c r="H81" s="41"/>
    </row>
    <row r="82" spans="1:9" x14ac:dyDescent="0.25">
      <c r="A82" s="997" t="s">
        <v>847</v>
      </c>
      <c r="B82" s="354"/>
      <c r="C82" s="572"/>
      <c r="D82" s="369"/>
      <c r="E82" s="369"/>
      <c r="F82" s="369"/>
      <c r="G82" s="813"/>
      <c r="H82" s="46"/>
    </row>
    <row r="83" spans="1:9" x14ac:dyDescent="0.25">
      <c r="A83" s="998" t="s">
        <v>229</v>
      </c>
      <c r="B83" s="352"/>
      <c r="C83" s="572"/>
      <c r="D83" s="369"/>
      <c r="E83" s="622"/>
      <c r="F83" s="523"/>
      <c r="G83" s="386"/>
      <c r="H83" s="41"/>
    </row>
    <row r="84" spans="1:9" x14ac:dyDescent="0.25">
      <c r="A84" s="999" t="s">
        <v>848</v>
      </c>
      <c r="B84" s="352"/>
      <c r="C84" s="572"/>
      <c r="D84" s="369"/>
      <c r="E84" s="381"/>
      <c r="F84" s="444"/>
      <c r="G84" s="386"/>
      <c r="H84" s="41"/>
    </row>
    <row r="85" spans="1:9" ht="15" customHeight="1" x14ac:dyDescent="0.25">
      <c r="A85" s="999" t="s">
        <v>849</v>
      </c>
      <c r="B85" s="479"/>
      <c r="C85" s="572"/>
      <c r="D85" s="369"/>
      <c r="E85" s="369"/>
      <c r="F85" s="444"/>
      <c r="G85" s="813"/>
      <c r="H85" s="41"/>
    </row>
    <row r="86" spans="1:9" x14ac:dyDescent="0.25">
      <c r="A86" s="1000" t="s">
        <v>850</v>
      </c>
      <c r="B86" s="354"/>
      <c r="C86" s="522"/>
      <c r="D86" s="523"/>
      <c r="E86" s="522"/>
      <c r="F86" s="535"/>
      <c r="G86" s="814"/>
      <c r="H86" s="46">
        <f>SUM(G71:G86)</f>
        <v>43000000</v>
      </c>
    </row>
    <row r="87" spans="1:9" s="44" customFormat="1" ht="30" customHeight="1" x14ac:dyDescent="0.25">
      <c r="A87" s="396" t="s">
        <v>86</v>
      </c>
      <c r="B87" s="397"/>
      <c r="C87" s="398">
        <f>SUM(C38:C81)</f>
        <v>84416986.980000004</v>
      </c>
      <c r="D87" s="398">
        <f>SUM(D38:D81)</f>
        <v>28564468.620000001</v>
      </c>
      <c r="E87" s="398">
        <f>SUM(E38:E86)</f>
        <v>115383816.38</v>
      </c>
      <c r="F87" s="398">
        <f>SUM(F38:F86)</f>
        <v>143948285</v>
      </c>
      <c r="G87" s="398">
        <f>SUM(G40:G86)</f>
        <v>234012000</v>
      </c>
      <c r="H87" s="793"/>
      <c r="I87" s="1048"/>
    </row>
    <row r="88" spans="1:9" ht="15" customHeight="1" x14ac:dyDescent="0.25">
      <c r="A88" s="429" t="s">
        <v>88</v>
      </c>
      <c r="B88" s="362"/>
      <c r="C88" s="430"/>
      <c r="D88" s="363"/>
      <c r="E88" s="430" t="s">
        <v>610</v>
      </c>
      <c r="F88" s="525"/>
      <c r="G88" s="812"/>
      <c r="H88" s="49"/>
    </row>
    <row r="89" spans="1:9" s="44" customFormat="1" x14ac:dyDescent="0.25">
      <c r="A89" s="396" t="s">
        <v>112</v>
      </c>
      <c r="B89" s="436"/>
      <c r="C89" s="398">
        <f>SUM(C88:C88)</f>
        <v>0</v>
      </c>
      <c r="D89" s="398">
        <f>SUM(D88:D88)</f>
        <v>0</v>
      </c>
      <c r="E89" s="398">
        <f>SUM(E88:E88)</f>
        <v>0</v>
      </c>
      <c r="F89" s="398">
        <f>SUM(F88:F88)</f>
        <v>0</v>
      </c>
      <c r="G89" s="398">
        <v>0</v>
      </c>
      <c r="H89" s="815">
        <f>CSWDO_MOOE+CSWDO_CO</f>
        <v>234012000</v>
      </c>
      <c r="I89" s="1048"/>
    </row>
    <row r="90" spans="1:9" s="53" customFormat="1" x14ac:dyDescent="0.25">
      <c r="A90" s="419" t="s">
        <v>113</v>
      </c>
      <c r="B90" s="437"/>
      <c r="C90" s="421">
        <f>+C89+C87+C37</f>
        <v>91330774.060000002</v>
      </c>
      <c r="D90" s="421">
        <f>+D89+D87+D37</f>
        <v>32133862.350000001</v>
      </c>
      <c r="E90" s="421">
        <f>+E89+E87+E37</f>
        <v>120841015.778</v>
      </c>
      <c r="F90" s="421">
        <f>+F89+F87+F37</f>
        <v>152974878.12799999</v>
      </c>
      <c r="G90" s="421">
        <f>+CSWDO_CO+CSWDO_MOOE+CSWDO_PS</f>
        <v>243569474.752</v>
      </c>
      <c r="I90" s="1049"/>
    </row>
    <row r="91" spans="1:9" x14ac:dyDescent="0.25">
      <c r="A91" s="16"/>
      <c r="B91" s="16"/>
      <c r="C91" s="16"/>
      <c r="D91" s="16"/>
      <c r="E91" s="411"/>
      <c r="F91" s="527"/>
      <c r="G91" s="564"/>
      <c r="H91" s="41"/>
    </row>
    <row r="92" spans="1:9" x14ac:dyDescent="0.25">
      <c r="A92" s="16"/>
      <c r="B92" s="16"/>
      <c r="C92" s="16"/>
      <c r="D92" s="16"/>
      <c r="E92" s="411"/>
      <c r="F92" s="411"/>
      <c r="G92" s="411"/>
      <c r="H92" s="41"/>
    </row>
    <row r="93" spans="1:9" x14ac:dyDescent="0.25">
      <c r="A93" s="16"/>
      <c r="B93" s="16"/>
      <c r="C93" s="16"/>
      <c r="D93" s="16"/>
      <c r="E93" s="16"/>
      <c r="F93" s="16"/>
      <c r="G93" s="16"/>
      <c r="H93" s="367"/>
    </row>
    <row r="94" spans="1:9" x14ac:dyDescent="0.25">
      <c r="A94" s="16"/>
      <c r="B94" s="16"/>
      <c r="C94" s="16"/>
      <c r="D94" s="16"/>
      <c r="E94" s="16"/>
      <c r="F94" s="16"/>
      <c r="G94" s="16"/>
      <c r="H94" s="367"/>
    </row>
    <row r="95" spans="1:9" x14ac:dyDescent="0.25">
      <c r="A95" s="16"/>
      <c r="B95" s="16"/>
      <c r="C95" s="16"/>
      <c r="D95" s="16"/>
      <c r="E95" s="16"/>
      <c r="F95" s="16"/>
      <c r="G95" s="16"/>
      <c r="H95" s="367"/>
    </row>
    <row r="96" spans="1:9" x14ac:dyDescent="0.25">
      <c r="A96" s="16"/>
      <c r="B96" s="16"/>
      <c r="C96" s="16"/>
      <c r="D96" s="16"/>
      <c r="E96" s="16"/>
      <c r="F96" s="16"/>
      <c r="G96" s="16"/>
      <c r="H96" s="367"/>
    </row>
    <row r="97" spans="1:8" x14ac:dyDescent="0.25">
      <c r="A97" s="16"/>
      <c r="B97" s="16"/>
      <c r="C97" s="16"/>
      <c r="D97" s="16"/>
      <c r="E97" s="16"/>
      <c r="F97" s="16"/>
      <c r="G97" s="16"/>
      <c r="H97" s="367"/>
    </row>
    <row r="98" spans="1:8" x14ac:dyDescent="0.25">
      <c r="A98" s="16"/>
      <c r="B98" s="16"/>
      <c r="C98" s="16"/>
      <c r="D98" s="16"/>
      <c r="E98" s="16"/>
      <c r="F98" s="16"/>
      <c r="G98" s="16"/>
      <c r="H98" s="367"/>
    </row>
    <row r="99" spans="1:8" x14ac:dyDescent="0.25">
      <c r="A99" s="16"/>
      <c r="B99" s="16"/>
      <c r="C99" s="16"/>
      <c r="D99" s="16"/>
      <c r="E99" s="16"/>
      <c r="F99" s="16"/>
      <c r="G99" s="16"/>
      <c r="H99" s="367"/>
    </row>
    <row r="100" spans="1:8" x14ac:dyDescent="0.25">
      <c r="A100" s="16"/>
      <c r="B100" s="16"/>
      <c r="C100" s="16"/>
      <c r="D100" s="16"/>
      <c r="E100" s="16"/>
      <c r="F100" s="16"/>
      <c r="G100" s="16"/>
      <c r="H100" s="367"/>
    </row>
    <row r="101" spans="1:8" x14ac:dyDescent="0.25">
      <c r="A101" s="16"/>
      <c r="B101" s="353"/>
      <c r="C101" s="16"/>
      <c r="D101" s="16"/>
      <c r="E101" s="16"/>
      <c r="F101" s="16"/>
      <c r="G101" s="16"/>
      <c r="H101" s="367"/>
    </row>
    <row r="102" spans="1:8" x14ac:dyDescent="0.25">
      <c r="A102" s="16"/>
      <c r="B102" s="16"/>
      <c r="C102" s="16"/>
      <c r="D102" s="16"/>
      <c r="E102" s="16"/>
      <c r="F102" s="16"/>
      <c r="G102" s="16"/>
      <c r="H102" s="367"/>
    </row>
    <row r="103" spans="1:8" x14ac:dyDescent="0.25">
      <c r="A103" s="16"/>
      <c r="B103" s="16"/>
      <c r="C103" s="16"/>
      <c r="D103" s="16"/>
      <c r="E103" s="16"/>
      <c r="F103" s="16"/>
      <c r="G103" s="16"/>
      <c r="H103" s="367"/>
    </row>
    <row r="104" spans="1:8" x14ac:dyDescent="0.25">
      <c r="A104" s="16"/>
      <c r="B104" s="16"/>
      <c r="C104" s="16"/>
      <c r="D104" s="16"/>
      <c r="E104" s="16"/>
      <c r="F104" s="16"/>
      <c r="G104" s="16"/>
      <c r="H104" s="367"/>
    </row>
  </sheetData>
  <sheetProtection algorithmName="SHA-512" hashValue="Bw2UpqSwrV9oAYdEtU1YOkLl6+IdY1eNWDwmYix8RjAhH/sW5k4mxmqNnPIp65NRP41OW3Rj7T/hESL9/Jmufw==" saltValue="23eMkfLLdsjdU/NN6r+Xrw==" spinCount="100000" sheet="1" objects="1" scenarios="1" sort="0" autoFilter="0" pivotTables="0"/>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79" firstPageNumber="243" fitToHeight="0" orientation="portrait" horizontalDpi="360" verticalDpi="360" r:id="rId1"/>
  <headerFooter scaleWithDoc="0">
    <oddFooter>&amp;C&amp;"Candara,Regular"&amp;10Page &amp;"Candara,Bold"&amp;P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pageSetUpPr fitToPage="1"/>
  </sheetPr>
  <dimension ref="A1:K111"/>
  <sheetViews>
    <sheetView view="pageBreakPreview" topLeftCell="A6" zoomScale="115" zoomScaleNormal="115" zoomScaleSheetLayoutView="115" workbookViewId="0">
      <pane xSplit="2" ySplit="3" topLeftCell="C33" activePane="bottomRight" state="frozen"/>
      <selection activeCell="C40" sqref="C40"/>
      <selection pane="topRight" activeCell="C40" sqref="C40"/>
      <selection pane="bottomLeft" activeCell="C40" sqref="C40"/>
      <selection pane="bottomRight" activeCell="I58" sqref="I58"/>
    </sheetView>
  </sheetViews>
  <sheetFormatPr defaultColWidth="9.140625" defaultRowHeight="15" x14ac:dyDescent="0.25"/>
  <cols>
    <col min="1" max="1" width="37.7109375" style="41" customWidth="1"/>
    <col min="2" max="2" width="12.7109375" style="41" customWidth="1"/>
    <col min="3" max="7" width="14.7109375" style="41" customWidth="1"/>
    <col min="8" max="8" width="15.140625" style="41" bestFit="1" customWidth="1"/>
    <col min="9" max="9" width="14.28515625" style="49" bestFit="1"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155</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25</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(25)</v>
      </c>
      <c r="B12" s="352" t="s">
        <v>6</v>
      </c>
      <c r="C12" s="406">
        <v>7447770.0999999996</v>
      </c>
      <c r="D12" s="369">
        <v>3686832.43</v>
      </c>
      <c r="E12" s="406">
        <f>F12-D12</f>
        <v>5967937.9699999988</v>
      </c>
      <c r="F12" s="369">
        <v>9654770.3999999985</v>
      </c>
      <c r="G12" s="565">
        <f>H12+I12</f>
        <v>10673497.199999999</v>
      </c>
      <c r="H12" s="438">
        <v>10373497.199999999</v>
      </c>
      <c r="I12" s="49">
        <f>I14/2</f>
        <v>300000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504000</v>
      </c>
      <c r="D14" s="369">
        <v>240000</v>
      </c>
      <c r="E14" s="406">
        <f t="shared" ref="E14:E19" si="0">F14-D14</f>
        <v>360000</v>
      </c>
      <c r="F14" s="369">
        <v>600000</v>
      </c>
      <c r="G14" s="408">
        <f>param_pera*AGRI_PLATILLA_ITEMS*12</f>
        <v>600000</v>
      </c>
      <c r="H14" s="402"/>
      <c r="I14" s="49">
        <v>600000</v>
      </c>
    </row>
    <row r="15" spans="1:9" ht="15" customHeight="1" x14ac:dyDescent="0.25">
      <c r="A15" s="373" t="s">
        <v>11</v>
      </c>
      <c r="B15" s="352" t="s">
        <v>12</v>
      </c>
      <c r="C15" s="406">
        <v>135000</v>
      </c>
      <c r="D15" s="369">
        <v>67500</v>
      </c>
      <c r="E15" s="406">
        <f t="shared" si="0"/>
        <v>67500</v>
      </c>
      <c r="F15" s="369">
        <v>135000</v>
      </c>
      <c r="G15" s="408">
        <f>H15*12</f>
        <v>135000</v>
      </c>
      <c r="H15" s="402">
        <v>11250</v>
      </c>
    </row>
    <row r="16" spans="1:9" ht="15" customHeight="1" x14ac:dyDescent="0.25">
      <c r="A16" s="373" t="s">
        <v>13</v>
      </c>
      <c r="B16" s="352" t="s">
        <v>14</v>
      </c>
      <c r="C16" s="406">
        <v>135000</v>
      </c>
      <c r="D16" s="369">
        <v>67500</v>
      </c>
      <c r="E16" s="406">
        <f t="shared" si="0"/>
        <v>67500</v>
      </c>
      <c r="F16" s="369">
        <v>135000</v>
      </c>
      <c r="G16" s="408">
        <f>H16*12</f>
        <v>135000</v>
      </c>
      <c r="H16" s="402">
        <v>11250</v>
      </c>
    </row>
    <row r="17" spans="1:11" ht="15" customHeight="1" x14ac:dyDescent="0.25">
      <c r="A17" s="373" t="s">
        <v>15</v>
      </c>
      <c r="B17" s="352" t="s">
        <v>16</v>
      </c>
      <c r="C17" s="406">
        <v>126000</v>
      </c>
      <c r="D17" s="369">
        <v>120000</v>
      </c>
      <c r="E17" s="406">
        <f t="shared" si="0"/>
        <v>30000</v>
      </c>
      <c r="F17" s="369">
        <v>150000</v>
      </c>
      <c r="G17" s="408">
        <f>param_uniform*AGRI_PLATILLA_ITEMS</f>
        <v>150000</v>
      </c>
      <c r="H17" s="402"/>
    </row>
    <row r="18" spans="1:11" ht="15" customHeight="1" x14ac:dyDescent="0.25">
      <c r="A18" s="373" t="s">
        <v>17</v>
      </c>
      <c r="B18" s="352" t="s">
        <v>18</v>
      </c>
      <c r="C18" s="406">
        <v>620908</v>
      </c>
      <c r="D18" s="369"/>
      <c r="E18" s="406">
        <f t="shared" si="0"/>
        <v>804564.19999999984</v>
      </c>
      <c r="F18" s="369">
        <v>804564.19999999984</v>
      </c>
      <c r="G18" s="408">
        <f>H12/12+I18</f>
        <v>1014458.1</v>
      </c>
      <c r="H18" s="402"/>
      <c r="I18" s="49">
        <f>I14/4</f>
        <v>150000</v>
      </c>
    </row>
    <row r="19" spans="1:11" ht="15" customHeight="1" x14ac:dyDescent="0.25">
      <c r="A19" s="373" t="s">
        <v>19</v>
      </c>
      <c r="B19" s="352" t="s">
        <v>20</v>
      </c>
      <c r="C19" s="406">
        <v>105000</v>
      </c>
      <c r="D19" s="369"/>
      <c r="E19" s="406">
        <f t="shared" si="0"/>
        <v>125000</v>
      </c>
      <c r="F19" s="369">
        <v>125000</v>
      </c>
      <c r="G19" s="408">
        <f>param_cash_gift*AGRI_PLATILLA_ITEMS</f>
        <v>125000</v>
      </c>
      <c r="H19" s="402"/>
    </row>
    <row r="20" spans="1:11" ht="15" customHeight="1" x14ac:dyDescent="0.25">
      <c r="A20" s="403" t="s">
        <v>21</v>
      </c>
      <c r="B20" s="365"/>
      <c r="C20" s="404"/>
      <c r="D20" s="366"/>
      <c r="E20" s="406"/>
      <c r="F20" s="366"/>
      <c r="G20" s="405"/>
      <c r="H20" s="402"/>
      <c r="K20" s="41" t="s">
        <v>610</v>
      </c>
    </row>
    <row r="21" spans="1:11" ht="15" customHeight="1" x14ac:dyDescent="0.25">
      <c r="A21" s="373" t="s">
        <v>22</v>
      </c>
      <c r="B21" s="352" t="s">
        <v>23</v>
      </c>
      <c r="C21" s="406">
        <v>893732.42</v>
      </c>
      <c r="D21" s="369">
        <v>442419.89</v>
      </c>
      <c r="E21" s="406">
        <f t="shared" ref="E21:E24" si="1">F21-D21</f>
        <v>716152.55799999984</v>
      </c>
      <c r="F21" s="369">
        <v>1158572.4479999999</v>
      </c>
      <c r="G21" s="408">
        <f>H12*12%</f>
        <v>1244819.6639999999</v>
      </c>
      <c r="H21" s="402"/>
    </row>
    <row r="22" spans="1:11" ht="15" customHeight="1" x14ac:dyDescent="0.25">
      <c r="A22" s="373" t="s">
        <v>24</v>
      </c>
      <c r="B22" s="352" t="s">
        <v>25</v>
      </c>
      <c r="C22" s="406">
        <v>25200</v>
      </c>
      <c r="D22" s="369">
        <v>12000</v>
      </c>
      <c r="E22" s="406">
        <f t="shared" si="1"/>
        <v>33000</v>
      </c>
      <c r="F22" s="369">
        <v>45000</v>
      </c>
      <c r="G22" s="408">
        <f>param_pagibig*AGRI_PLATILLA_ITEMS*12</f>
        <v>45000</v>
      </c>
      <c r="H22" s="402"/>
    </row>
    <row r="23" spans="1:11" ht="15" customHeight="1" x14ac:dyDescent="0.25">
      <c r="A23" s="373" t="s">
        <v>26</v>
      </c>
      <c r="B23" s="352" t="s">
        <v>27</v>
      </c>
      <c r="C23" s="406">
        <v>101560.65</v>
      </c>
      <c r="D23" s="369">
        <v>71097.899999999994</v>
      </c>
      <c r="E23" s="406">
        <f t="shared" si="1"/>
        <v>149902.1</v>
      </c>
      <c r="F23" s="369">
        <v>221000</v>
      </c>
      <c r="G23" s="408">
        <f>ROUND(H23+(H23*0.1), -1)</f>
        <v>218890</v>
      </c>
      <c r="H23" s="402">
        <v>198993.84</v>
      </c>
    </row>
    <row r="24" spans="1:11" ht="15" customHeight="1" x14ac:dyDescent="0.25">
      <c r="A24" s="373" t="s">
        <v>28</v>
      </c>
      <c r="B24" s="352" t="s">
        <v>29</v>
      </c>
      <c r="C24" s="406">
        <v>25200</v>
      </c>
      <c r="D24" s="369">
        <v>12000</v>
      </c>
      <c r="E24" s="406">
        <f t="shared" si="1"/>
        <v>33000</v>
      </c>
      <c r="F24" s="369">
        <v>45000</v>
      </c>
      <c r="G24" s="408">
        <f>param_ecc*AGRI_PLATILLA_ITEMS*12</f>
        <v>45000</v>
      </c>
      <c r="H24" s="402"/>
    </row>
    <row r="25" spans="1:11" ht="15" customHeight="1" x14ac:dyDescent="0.25">
      <c r="A25" s="403" t="s">
        <v>30</v>
      </c>
      <c r="B25" s="365"/>
      <c r="C25" s="404"/>
      <c r="D25" s="366"/>
      <c r="E25" s="406"/>
      <c r="F25" s="366"/>
      <c r="G25" s="405"/>
      <c r="H25" s="402"/>
    </row>
    <row r="26" spans="1:11" ht="15" customHeight="1" x14ac:dyDescent="0.25">
      <c r="A26" s="373" t="s">
        <v>30</v>
      </c>
      <c r="B26" s="352" t="s">
        <v>33</v>
      </c>
      <c r="C26" s="406"/>
      <c r="D26" s="369"/>
      <c r="E26" s="571"/>
      <c r="F26" s="572"/>
      <c r="G26" s="369"/>
      <c r="H26" s="519">
        <f>SUM(G26:G33)</f>
        <v>1264458.1000000001</v>
      </c>
    </row>
    <row r="27" spans="1:11" ht="15" customHeight="1" x14ac:dyDescent="0.25">
      <c r="A27" s="434" t="s">
        <v>332</v>
      </c>
      <c r="B27" s="352"/>
      <c r="C27" s="406">
        <v>620908</v>
      </c>
      <c r="D27" s="369">
        <v>615506</v>
      </c>
      <c r="E27" s="406">
        <f t="shared" ref="E27:E30" si="2">F27-D27</f>
        <v>189058.19999999984</v>
      </c>
      <c r="F27" s="369">
        <v>804564.19999999984</v>
      </c>
      <c r="G27" s="408">
        <f>H12/12+I27</f>
        <v>1014458.1</v>
      </c>
      <c r="H27" s="402"/>
      <c r="I27" s="49">
        <f>I14/4</f>
        <v>150000</v>
      </c>
    </row>
    <row r="28" spans="1:11" ht="15" customHeight="1" x14ac:dyDescent="0.25">
      <c r="A28" s="434" t="s">
        <v>333</v>
      </c>
      <c r="B28" s="352"/>
      <c r="C28" s="406"/>
      <c r="D28" s="369"/>
      <c r="E28" s="406">
        <f t="shared" si="2"/>
        <v>125000</v>
      </c>
      <c r="F28" s="369">
        <v>125000</v>
      </c>
      <c r="G28" s="408">
        <f>param_pei*AGRI_PLATILLA_ITEMS</f>
        <v>125000</v>
      </c>
      <c r="H28" s="402"/>
    </row>
    <row r="29" spans="1:11" ht="30" customHeight="1" x14ac:dyDescent="0.25">
      <c r="A29" s="434" t="s">
        <v>649</v>
      </c>
      <c r="B29" s="352"/>
      <c r="C29" s="406"/>
      <c r="D29" s="369"/>
      <c r="E29" s="406">
        <f t="shared" si="2"/>
        <v>125000</v>
      </c>
      <c r="F29" s="369">
        <v>125000</v>
      </c>
      <c r="G29" s="408">
        <f>param_pbb*AGRI_PLATILLA_ITEMS</f>
        <v>125000</v>
      </c>
      <c r="H29" s="402"/>
    </row>
    <row r="30" spans="1:11" ht="15" customHeight="1" x14ac:dyDescent="0.25">
      <c r="A30" s="434" t="s">
        <v>334</v>
      </c>
      <c r="B30" s="352"/>
      <c r="C30" s="406"/>
      <c r="D30" s="369"/>
      <c r="E30" s="406">
        <f t="shared" si="2"/>
        <v>0</v>
      </c>
      <c r="F30" s="369"/>
      <c r="G30" s="408"/>
      <c r="H30" s="519"/>
    </row>
    <row r="31" spans="1:11" ht="15" customHeight="1" x14ac:dyDescent="0.25">
      <c r="A31" s="513" t="s">
        <v>650</v>
      </c>
      <c r="B31" s="479"/>
      <c r="C31" s="381">
        <v>525000</v>
      </c>
      <c r="D31" s="381"/>
      <c r="E31" s="381"/>
      <c r="F31" s="381"/>
      <c r="G31" s="381"/>
      <c r="H31" s="375"/>
    </row>
    <row r="32" spans="1:11" ht="15" customHeight="1" x14ac:dyDescent="0.25">
      <c r="A32" s="376" t="s">
        <v>652</v>
      </c>
      <c r="B32" s="352"/>
      <c r="C32" s="369"/>
      <c r="D32" s="369"/>
      <c r="E32" s="369"/>
      <c r="F32" s="369"/>
      <c r="G32" s="369"/>
      <c r="H32" s="375"/>
    </row>
    <row r="33" spans="1:8" ht="15" customHeight="1" x14ac:dyDescent="0.25">
      <c r="A33" s="378" t="s">
        <v>653</v>
      </c>
      <c r="B33" s="379"/>
      <c r="C33" s="380">
        <v>210000</v>
      </c>
      <c r="D33" s="380"/>
      <c r="E33" s="381"/>
      <c r="F33" s="380"/>
      <c r="G33" s="380"/>
      <c r="H33" s="375"/>
    </row>
    <row r="34" spans="1:8" ht="15" customHeight="1" x14ac:dyDescent="0.25">
      <c r="A34" s="396" t="s">
        <v>34</v>
      </c>
      <c r="B34" s="397"/>
      <c r="C34" s="398">
        <f>SUM(C11:C33)</f>
        <v>11475279.17</v>
      </c>
      <c r="D34" s="398">
        <f t="shared" ref="D34:F34" si="3">SUM(D11:D33)</f>
        <v>5334856.2200000007</v>
      </c>
      <c r="E34" s="398">
        <f t="shared" si="3"/>
        <v>8793615.027999999</v>
      </c>
      <c r="F34" s="398">
        <f t="shared" si="3"/>
        <v>14128471.247999996</v>
      </c>
      <c r="G34" s="398">
        <f>SUM(G11:G33)</f>
        <v>15651123.063999997</v>
      </c>
      <c r="H34" s="16"/>
    </row>
    <row r="35" spans="1:8" ht="15" customHeight="1" x14ac:dyDescent="0.25">
      <c r="A35" s="429" t="s">
        <v>35</v>
      </c>
      <c r="B35" s="362"/>
      <c r="C35" s="430"/>
      <c r="D35" s="363"/>
      <c r="E35" s="430"/>
      <c r="F35" s="525"/>
      <c r="G35" s="526"/>
      <c r="H35" s="16"/>
    </row>
    <row r="36" spans="1:8" ht="15" customHeight="1" x14ac:dyDescent="0.25">
      <c r="A36" s="403" t="s">
        <v>50</v>
      </c>
      <c r="B36" s="365"/>
      <c r="C36" s="404"/>
      <c r="D36" s="366"/>
      <c r="E36" s="406"/>
      <c r="F36" s="366"/>
      <c r="G36" s="405"/>
      <c r="H36" s="16"/>
    </row>
    <row r="37" spans="1:8" ht="15" customHeight="1" x14ac:dyDescent="0.25">
      <c r="A37" s="373" t="s">
        <v>51</v>
      </c>
      <c r="B37" s="352" t="s">
        <v>52</v>
      </c>
      <c r="C37" s="406">
        <v>0</v>
      </c>
      <c r="D37" s="369"/>
      <c r="E37" s="406">
        <f>F37-D37</f>
        <v>0</v>
      </c>
      <c r="F37" s="369"/>
      <c r="G37" s="408"/>
      <c r="H37" s="16"/>
    </row>
    <row r="38" spans="1:8" ht="15" customHeight="1" x14ac:dyDescent="0.25">
      <c r="A38" s="403" t="s">
        <v>55</v>
      </c>
      <c r="B38" s="365"/>
      <c r="C38" s="404"/>
      <c r="D38" s="366"/>
      <c r="E38" s="406"/>
      <c r="F38" s="366"/>
      <c r="G38" s="405"/>
      <c r="H38" s="16"/>
    </row>
    <row r="39" spans="1:8" ht="15" customHeight="1" x14ac:dyDescent="0.25">
      <c r="A39" s="373" t="s">
        <v>56</v>
      </c>
      <c r="B39" s="352" t="s">
        <v>57</v>
      </c>
      <c r="C39" s="406">
        <v>12125</v>
      </c>
      <c r="D39" s="369">
        <v>2350</v>
      </c>
      <c r="E39" s="406">
        <f>F39-D39</f>
        <v>7650</v>
      </c>
      <c r="F39" s="369">
        <v>10000</v>
      </c>
      <c r="G39" s="408">
        <v>10000</v>
      </c>
      <c r="H39" s="16"/>
    </row>
    <row r="40" spans="1:8" ht="15" customHeight="1" x14ac:dyDescent="0.25">
      <c r="A40" s="403" t="s">
        <v>58</v>
      </c>
      <c r="B40" s="365"/>
      <c r="C40" s="404"/>
      <c r="D40" s="366"/>
      <c r="E40" s="406"/>
      <c r="F40" s="366"/>
      <c r="G40" s="405"/>
      <c r="H40" s="16"/>
    </row>
    <row r="41" spans="1:8" ht="15" customHeight="1" x14ac:dyDescent="0.25">
      <c r="A41" s="373" t="s">
        <v>61</v>
      </c>
      <c r="B41" s="352" t="s">
        <v>62</v>
      </c>
      <c r="C41" s="406"/>
      <c r="D41" s="369"/>
      <c r="E41" s="406">
        <f>F41-D41</f>
        <v>36000</v>
      </c>
      <c r="F41" s="369">
        <v>36000</v>
      </c>
      <c r="G41" s="369">
        <v>36000</v>
      </c>
      <c r="H41" s="16"/>
    </row>
    <row r="42" spans="1:8" ht="15" customHeight="1" x14ac:dyDescent="0.25">
      <c r="A42" s="373" t="s">
        <v>63</v>
      </c>
      <c r="B42" s="352" t="s">
        <v>64</v>
      </c>
      <c r="C42" s="406">
        <v>6396</v>
      </c>
      <c r="D42" s="369">
        <v>15437.6</v>
      </c>
      <c r="E42" s="406">
        <f>F42-D42</f>
        <v>20562.400000000001</v>
      </c>
      <c r="F42" s="369">
        <v>36000</v>
      </c>
      <c r="G42" s="408">
        <v>40000</v>
      </c>
      <c r="H42" s="16"/>
    </row>
    <row r="43" spans="1:8" ht="15" customHeight="1" x14ac:dyDescent="0.25">
      <c r="A43" s="403" t="s">
        <v>351</v>
      </c>
      <c r="B43" s="365"/>
      <c r="C43" s="404"/>
      <c r="D43" s="366"/>
      <c r="E43" s="406"/>
      <c r="F43" s="390"/>
      <c r="G43" s="405"/>
      <c r="H43" s="16"/>
    </row>
    <row r="44" spans="1:8" x14ac:dyDescent="0.25">
      <c r="A44" s="472" t="s">
        <v>141</v>
      </c>
      <c r="B44" s="442" t="s">
        <v>181</v>
      </c>
      <c r="C44" s="443"/>
      <c r="D44" s="444"/>
      <c r="E44" s="443"/>
      <c r="F44" s="566"/>
      <c r="G44" s="387"/>
      <c r="H44" s="16"/>
    </row>
    <row r="45" spans="1:8" ht="15" customHeight="1" x14ac:dyDescent="0.25">
      <c r="A45" s="403" t="s">
        <v>42</v>
      </c>
      <c r="B45" s="365"/>
      <c r="C45" s="404"/>
      <c r="D45" s="366"/>
      <c r="E45" s="404"/>
      <c r="F45" s="366"/>
      <c r="G45" s="559"/>
      <c r="H45" s="16"/>
    </row>
    <row r="46" spans="1:8" ht="15" customHeight="1" x14ac:dyDescent="0.25">
      <c r="A46" s="373" t="s">
        <v>42</v>
      </c>
      <c r="B46" s="433" t="s">
        <v>176</v>
      </c>
      <c r="C46" s="406">
        <v>9058</v>
      </c>
      <c r="D46" s="369"/>
      <c r="E46" s="406">
        <f>F46-D46</f>
        <v>50000</v>
      </c>
      <c r="F46" s="369">
        <v>50000</v>
      </c>
      <c r="G46" s="408">
        <v>30000</v>
      </c>
      <c r="H46" s="371"/>
    </row>
    <row r="47" spans="1:8" ht="30" customHeight="1" x14ac:dyDescent="0.25">
      <c r="A47" s="719" t="s">
        <v>802</v>
      </c>
      <c r="B47" s="365"/>
      <c r="C47" s="404"/>
      <c r="D47" s="366"/>
      <c r="E47" s="366"/>
      <c r="F47" s="366"/>
      <c r="G47" s="1003"/>
      <c r="H47" s="16"/>
    </row>
    <row r="48" spans="1:8" x14ac:dyDescent="0.25">
      <c r="A48" s="587" t="s">
        <v>80</v>
      </c>
      <c r="B48" s="352" t="s">
        <v>81</v>
      </c>
      <c r="C48" s="406"/>
      <c r="D48" s="369">
        <v>32000</v>
      </c>
      <c r="E48" s="406">
        <f>F48-D48</f>
        <v>60400</v>
      </c>
      <c r="F48" s="369">
        <v>92400</v>
      </c>
      <c r="G48" s="1004">
        <v>230000</v>
      </c>
      <c r="H48" s="371" t="s">
        <v>973</v>
      </c>
    </row>
    <row r="49" spans="1:10" ht="30" customHeight="1" x14ac:dyDescent="0.25">
      <c r="A49" s="373" t="s">
        <v>763</v>
      </c>
      <c r="B49" s="433"/>
      <c r="C49" s="406"/>
      <c r="D49" s="369"/>
      <c r="E49" s="406">
        <f t="shared" ref="E49:E52" si="4">F49-D49</f>
        <v>350000</v>
      </c>
      <c r="F49" s="369">
        <v>350000</v>
      </c>
      <c r="G49" s="717">
        <v>175000</v>
      </c>
      <c r="H49" s="371" t="s">
        <v>972</v>
      </c>
    </row>
    <row r="50" spans="1:10" ht="30" customHeight="1" x14ac:dyDescent="0.25">
      <c r="A50" s="373" t="s">
        <v>764</v>
      </c>
      <c r="B50" s="433"/>
      <c r="C50" s="406"/>
      <c r="D50" s="369">
        <v>16000</v>
      </c>
      <c r="E50" s="406">
        <f t="shared" si="4"/>
        <v>484000</v>
      </c>
      <c r="F50" s="369">
        <v>500000</v>
      </c>
      <c r="G50" s="717">
        <v>250000</v>
      </c>
      <c r="H50" s="371" t="s">
        <v>972</v>
      </c>
    </row>
    <row r="51" spans="1:10" ht="30" customHeight="1" x14ac:dyDescent="0.25">
      <c r="A51" s="373" t="s">
        <v>843</v>
      </c>
      <c r="B51" s="433"/>
      <c r="C51" s="406"/>
      <c r="D51" s="369"/>
      <c r="E51" s="406">
        <f t="shared" si="4"/>
        <v>0</v>
      </c>
      <c r="F51" s="369"/>
      <c r="G51" s="717">
        <v>600000</v>
      </c>
      <c r="H51" s="371" t="s">
        <v>974</v>
      </c>
    </row>
    <row r="52" spans="1:10" ht="30" customHeight="1" x14ac:dyDescent="0.25">
      <c r="A52" s="373" t="s">
        <v>765</v>
      </c>
      <c r="B52" s="433"/>
      <c r="C52" s="406"/>
      <c r="D52" s="369"/>
      <c r="E52" s="406">
        <f t="shared" si="4"/>
        <v>400000</v>
      </c>
      <c r="F52" s="369">
        <v>400000</v>
      </c>
      <c r="G52" s="717">
        <v>500000</v>
      </c>
      <c r="H52" s="371" t="s">
        <v>972</v>
      </c>
    </row>
    <row r="53" spans="1:10" ht="30" customHeight="1" x14ac:dyDescent="0.25">
      <c r="A53" s="994" t="s">
        <v>844</v>
      </c>
      <c r="B53" s="771"/>
      <c r="C53" s="522"/>
      <c r="D53" s="523"/>
      <c r="E53" s="522"/>
      <c r="F53" s="523"/>
      <c r="G53" s="813">
        <v>2000000</v>
      </c>
      <c r="H53" s="371" t="s">
        <v>975</v>
      </c>
    </row>
    <row r="54" spans="1:10" ht="30" customHeight="1" x14ac:dyDescent="0.25">
      <c r="A54" s="396" t="s">
        <v>86</v>
      </c>
      <c r="B54" s="397"/>
      <c r="C54" s="398">
        <f>SUM(C35:C53)</f>
        <v>27579</v>
      </c>
      <c r="D54" s="398">
        <f>SUM(D35:D53)</f>
        <v>65787.600000000006</v>
      </c>
      <c r="E54" s="398">
        <f>SUM(E35:E53)</f>
        <v>1408612.4</v>
      </c>
      <c r="F54" s="398">
        <f>SUM(F35:F53)</f>
        <v>1474400</v>
      </c>
      <c r="G54" s="398">
        <f>SUM(G35:G53)</f>
        <v>3871000</v>
      </c>
      <c r="H54" s="786">
        <f>AGRI_MOOE-I54</f>
        <v>116000</v>
      </c>
      <c r="I54" s="49">
        <f>SUM(G48:G53)</f>
        <v>3755000</v>
      </c>
      <c r="J54" s="41" t="s">
        <v>923</v>
      </c>
    </row>
    <row r="55" spans="1:10" ht="15" customHeight="1" x14ac:dyDescent="0.25">
      <c r="A55" s="429" t="s">
        <v>88</v>
      </c>
      <c r="B55" s="362"/>
      <c r="C55" s="430"/>
      <c r="D55" s="363"/>
      <c r="E55" s="430"/>
      <c r="F55" s="363"/>
      <c r="G55" s="431"/>
      <c r="H55" s="439"/>
    </row>
    <row r="56" spans="1:10" ht="15" customHeight="1" x14ac:dyDescent="0.25">
      <c r="A56" s="403" t="s">
        <v>92</v>
      </c>
      <c r="B56" s="365"/>
      <c r="C56" s="404"/>
      <c r="D56" s="366"/>
      <c r="E56" s="404"/>
      <c r="F56" s="366"/>
      <c r="G56" s="559"/>
      <c r="H56" s="16"/>
    </row>
    <row r="57" spans="1:10" ht="15" customHeight="1" x14ac:dyDescent="0.25">
      <c r="A57" s="373" t="s">
        <v>750</v>
      </c>
      <c r="B57" s="433" t="s">
        <v>94</v>
      </c>
      <c r="C57" s="406"/>
      <c r="D57" s="369"/>
      <c r="E57" s="406"/>
      <c r="F57" s="369"/>
      <c r="G57" s="408"/>
      <c r="H57" s="371"/>
    </row>
    <row r="58" spans="1:10" ht="30" customHeight="1" x14ac:dyDescent="0.25">
      <c r="A58" s="434" t="s">
        <v>772</v>
      </c>
      <c r="B58" s="433"/>
      <c r="C58" s="406"/>
      <c r="D58" s="369">
        <v>431606.8</v>
      </c>
      <c r="E58" s="406">
        <f>F58-D58</f>
        <v>2568393.2000000002</v>
      </c>
      <c r="F58" s="369">
        <v>3000000</v>
      </c>
      <c r="G58" s="408">
        <v>3000000</v>
      </c>
      <c r="H58" s="371"/>
    </row>
    <row r="59" spans="1:10" ht="15" customHeight="1" x14ac:dyDescent="0.25">
      <c r="A59" s="403" t="s">
        <v>101</v>
      </c>
      <c r="B59" s="365"/>
      <c r="C59" s="404"/>
      <c r="D59" s="366"/>
      <c r="E59" s="404"/>
      <c r="F59" s="366"/>
      <c r="G59" s="559"/>
      <c r="H59" s="16"/>
    </row>
    <row r="60" spans="1:10" ht="15" customHeight="1" x14ac:dyDescent="0.25">
      <c r="A60" s="373" t="s">
        <v>102</v>
      </c>
      <c r="B60" s="433" t="s">
        <v>103</v>
      </c>
      <c r="C60" s="406"/>
      <c r="D60" s="369"/>
      <c r="E60" s="406"/>
      <c r="F60" s="369"/>
      <c r="G60" s="408"/>
      <c r="H60" s="371"/>
    </row>
    <row r="61" spans="1:10" ht="30" customHeight="1" x14ac:dyDescent="0.25">
      <c r="A61" s="434" t="s">
        <v>773</v>
      </c>
      <c r="B61" s="433"/>
      <c r="C61" s="406"/>
      <c r="D61" s="369"/>
      <c r="E61" s="406">
        <f>F61-D61</f>
        <v>500000</v>
      </c>
      <c r="F61" s="369">
        <v>500000</v>
      </c>
      <c r="G61" s="408">
        <v>500000</v>
      </c>
      <c r="H61" s="371"/>
    </row>
    <row r="62" spans="1:10" ht="15" customHeight="1" x14ac:dyDescent="0.25">
      <c r="A62" s="396" t="s">
        <v>112</v>
      </c>
      <c r="B62" s="436"/>
      <c r="C62" s="398">
        <f>SUM(C55:C61)</f>
        <v>0</v>
      </c>
      <c r="D62" s="398">
        <f>SUM(D55:D61)</f>
        <v>431606.8</v>
      </c>
      <c r="E62" s="398">
        <f>SUM(E55:E61)</f>
        <v>3068393.2</v>
      </c>
      <c r="F62" s="398">
        <f>SUM(F55:F61)</f>
        <v>3500000</v>
      </c>
      <c r="G62" s="398">
        <f>SUM(G55:G61)</f>
        <v>3500000</v>
      </c>
      <c r="H62" s="792">
        <v>3500000</v>
      </c>
    </row>
    <row r="63" spans="1:10" ht="15" customHeight="1" x14ac:dyDescent="0.25">
      <c r="A63" s="419" t="s">
        <v>113</v>
      </c>
      <c r="B63" s="437"/>
      <c r="C63" s="421">
        <f>C34+C54+C62</f>
        <v>11502858.17</v>
      </c>
      <c r="D63" s="421">
        <f>D34+D54+D62</f>
        <v>5832250.6200000001</v>
      </c>
      <c r="E63" s="421">
        <f>E34+E54+E62</f>
        <v>13270620.627999999</v>
      </c>
      <c r="F63" s="421">
        <f>F34+F54+F62</f>
        <v>19102871.247999996</v>
      </c>
      <c r="G63" s="421">
        <f>G34+G54+G62</f>
        <v>23022123.063999996</v>
      </c>
      <c r="H63" s="371"/>
    </row>
    <row r="64" spans="1:10"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row r="97" spans="1:8" x14ac:dyDescent="0.25">
      <c r="A97" s="16"/>
      <c r="B97" s="16"/>
      <c r="C97" s="16"/>
      <c r="D97" s="16"/>
      <c r="E97" s="16"/>
      <c r="F97" s="16"/>
      <c r="G97" s="16"/>
      <c r="H97" s="16"/>
    </row>
    <row r="98" spans="1:8" x14ac:dyDescent="0.25">
      <c r="A98" s="16"/>
      <c r="B98" s="16"/>
      <c r="C98" s="16"/>
      <c r="D98" s="16"/>
      <c r="E98" s="16"/>
      <c r="F98" s="16"/>
      <c r="G98" s="16"/>
      <c r="H98" s="16"/>
    </row>
    <row r="99" spans="1:8" x14ac:dyDescent="0.25">
      <c r="A99" s="16"/>
      <c r="B99" s="16"/>
      <c r="C99" s="16"/>
      <c r="D99" s="16"/>
      <c r="E99" s="16"/>
      <c r="F99" s="16"/>
      <c r="G99" s="16"/>
      <c r="H99" s="16"/>
    </row>
    <row r="100" spans="1:8" x14ac:dyDescent="0.25">
      <c r="A100" s="16"/>
      <c r="B100" s="16"/>
      <c r="C100" s="16"/>
      <c r="D100" s="16"/>
      <c r="E100" s="16"/>
      <c r="F100" s="16"/>
      <c r="G100" s="16"/>
      <c r="H100" s="16"/>
    </row>
    <row r="101" spans="1:8" x14ac:dyDescent="0.25">
      <c r="A101" s="16"/>
      <c r="B101" s="16"/>
      <c r="C101" s="16"/>
      <c r="D101" s="16"/>
      <c r="E101" s="16"/>
      <c r="F101" s="16"/>
      <c r="G101" s="16"/>
      <c r="H101" s="16"/>
    </row>
    <row r="102" spans="1:8" x14ac:dyDescent="0.25">
      <c r="A102" s="16"/>
      <c r="B102" s="16"/>
      <c r="C102" s="16"/>
      <c r="D102" s="16"/>
      <c r="E102" s="16"/>
      <c r="F102" s="16"/>
      <c r="G102" s="16"/>
      <c r="H102" s="16"/>
    </row>
    <row r="103" spans="1:8" ht="38.25" customHeight="1" x14ac:dyDescent="0.25">
      <c r="A103" s="16"/>
      <c r="B103" s="16"/>
      <c r="C103" s="16"/>
      <c r="D103" s="16"/>
      <c r="E103" s="16"/>
      <c r="F103" s="16"/>
      <c r="G103" s="16"/>
      <c r="H103" s="16"/>
    </row>
    <row r="104" spans="1:8" x14ac:dyDescent="0.25">
      <c r="A104" s="16"/>
      <c r="B104" s="16"/>
      <c r="C104" s="16"/>
      <c r="D104" s="16"/>
      <c r="E104" s="16"/>
      <c r="F104" s="16"/>
      <c r="G104" s="16"/>
      <c r="H104" s="16"/>
    </row>
    <row r="105" spans="1:8" x14ac:dyDescent="0.25">
      <c r="A105" s="16"/>
      <c r="B105" s="16"/>
      <c r="C105" s="16"/>
      <c r="D105" s="16"/>
      <c r="E105" s="16"/>
      <c r="F105" s="16"/>
      <c r="G105" s="16"/>
      <c r="H105" s="16"/>
    </row>
    <row r="106" spans="1:8" x14ac:dyDescent="0.25">
      <c r="A106" s="16"/>
      <c r="B106" s="16"/>
      <c r="C106" s="16"/>
      <c r="D106" s="16"/>
      <c r="E106" s="16"/>
      <c r="F106" s="16"/>
      <c r="G106" s="16"/>
      <c r="H106" s="16"/>
    </row>
    <row r="107" spans="1:8" x14ac:dyDescent="0.25">
      <c r="A107" s="16"/>
      <c r="B107" s="16"/>
      <c r="C107" s="16"/>
      <c r="D107" s="16"/>
      <c r="E107" s="16"/>
      <c r="F107" s="16"/>
      <c r="G107" s="16"/>
      <c r="H107" s="16"/>
    </row>
    <row r="108" spans="1:8" x14ac:dyDescent="0.25">
      <c r="A108" s="16"/>
      <c r="B108" s="353"/>
      <c r="C108" s="16"/>
      <c r="D108" s="16"/>
      <c r="E108" s="16"/>
      <c r="F108" s="16"/>
      <c r="G108" s="16"/>
      <c r="H108" s="16"/>
    </row>
    <row r="109" spans="1:8" x14ac:dyDescent="0.25">
      <c r="A109" s="16"/>
      <c r="B109" s="16"/>
      <c r="C109" s="16"/>
      <c r="D109" s="16"/>
      <c r="E109" s="16"/>
      <c r="F109" s="16"/>
      <c r="G109" s="16"/>
      <c r="H109" s="16"/>
    </row>
    <row r="110" spans="1:8" x14ac:dyDescent="0.25">
      <c r="A110" s="16"/>
      <c r="B110" s="16"/>
      <c r="C110" s="16"/>
      <c r="D110" s="16"/>
      <c r="E110" s="16"/>
      <c r="F110" s="16"/>
      <c r="G110" s="16"/>
      <c r="H110" s="16"/>
    </row>
    <row r="111" spans="1:8" x14ac:dyDescent="0.25">
      <c r="A111" s="16"/>
      <c r="B111" s="16"/>
      <c r="C111" s="16"/>
      <c r="D111" s="16"/>
      <c r="E111" s="16"/>
      <c r="F111" s="16"/>
      <c r="G111" s="16"/>
      <c r="H111"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rowBreaks count="1" manualBreakCount="1">
    <brk id="57"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pageSetUpPr fitToPage="1"/>
  </sheetPr>
  <dimension ref="A1:K80"/>
  <sheetViews>
    <sheetView view="pageBreakPreview" topLeftCell="A4" zoomScale="130" zoomScaleNormal="130" zoomScaleSheetLayoutView="130" workbookViewId="0">
      <pane xSplit="2" ySplit="5" topLeftCell="C57"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6" width="14.7109375" style="41" customWidth="1"/>
    <col min="7" max="7" width="17" style="41" customWidth="1"/>
    <col min="8" max="8" width="15.140625" style="41" bestFit="1" customWidth="1"/>
    <col min="9" max="9" width="22.71093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162</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8</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(8)</v>
      </c>
      <c r="B12" s="352" t="s">
        <v>6</v>
      </c>
      <c r="C12" s="406">
        <v>3164161.23</v>
      </c>
      <c r="D12" s="369">
        <v>1719497.6</v>
      </c>
      <c r="E12" s="406">
        <f>F12-D12</f>
        <v>2132328.4000000004</v>
      </c>
      <c r="F12" s="369">
        <v>3851826.0000000005</v>
      </c>
      <c r="G12" s="408">
        <f>H12+I12</f>
        <v>4074717.6</v>
      </c>
      <c r="H12" s="561">
        <v>3978717.6</v>
      </c>
      <c r="I12" s="49">
        <f>I14/2</f>
        <v>96000</v>
      </c>
    </row>
    <row r="13" spans="1:9" ht="15" customHeight="1" x14ac:dyDescent="0.25">
      <c r="A13" s="403" t="s">
        <v>7</v>
      </c>
      <c r="B13" s="365"/>
      <c r="C13" s="404"/>
      <c r="D13" s="366"/>
      <c r="E13" s="406"/>
      <c r="F13" s="366"/>
      <c r="G13" s="405"/>
      <c r="H13" s="16"/>
    </row>
    <row r="14" spans="1:9" ht="15" customHeight="1" x14ac:dyDescent="0.25">
      <c r="A14" s="373" t="s">
        <v>8</v>
      </c>
      <c r="B14" s="352" t="s">
        <v>9</v>
      </c>
      <c r="C14" s="406">
        <v>192000</v>
      </c>
      <c r="D14" s="369">
        <v>96000</v>
      </c>
      <c r="E14" s="406">
        <f t="shared" ref="E14:E19" si="0">F14-D14</f>
        <v>96000</v>
      </c>
      <c r="F14" s="369">
        <v>192000</v>
      </c>
      <c r="G14" s="717">
        <f>param_pera*VET_PLATILLA_ITEMS*12</f>
        <v>192000</v>
      </c>
      <c r="H14" s="402"/>
      <c r="I14" s="49">
        <v>192000</v>
      </c>
    </row>
    <row r="15" spans="1:9" ht="15" customHeight="1" x14ac:dyDescent="0.25">
      <c r="A15" s="373" t="s">
        <v>11</v>
      </c>
      <c r="B15" s="352" t="s">
        <v>12</v>
      </c>
      <c r="C15" s="406">
        <v>81000</v>
      </c>
      <c r="D15" s="369">
        <v>40500</v>
      </c>
      <c r="E15" s="406">
        <f t="shared" si="0"/>
        <v>40500</v>
      </c>
      <c r="F15" s="369">
        <v>81000</v>
      </c>
      <c r="G15" s="408">
        <f>H15*12</f>
        <v>81000</v>
      </c>
      <c r="H15" s="402">
        <v>6750</v>
      </c>
    </row>
    <row r="16" spans="1:9" ht="15" customHeight="1" x14ac:dyDescent="0.25">
      <c r="A16" s="373" t="s">
        <v>13</v>
      </c>
      <c r="B16" s="352" t="s">
        <v>14</v>
      </c>
      <c r="C16" s="406">
        <v>81000</v>
      </c>
      <c r="D16" s="369">
        <v>40500</v>
      </c>
      <c r="E16" s="406">
        <f t="shared" si="0"/>
        <v>40500</v>
      </c>
      <c r="F16" s="369">
        <v>81000</v>
      </c>
      <c r="G16" s="408">
        <f>H16*12</f>
        <v>81000</v>
      </c>
      <c r="H16" s="402">
        <v>6750</v>
      </c>
    </row>
    <row r="17" spans="1:11" ht="15" customHeight="1" x14ac:dyDescent="0.25">
      <c r="A17" s="373" t="s">
        <v>15</v>
      </c>
      <c r="B17" s="352" t="s">
        <v>16</v>
      </c>
      <c r="C17" s="406">
        <v>48000</v>
      </c>
      <c r="D17" s="369">
        <v>48000</v>
      </c>
      <c r="E17" s="406">
        <f t="shared" si="0"/>
        <v>0</v>
      </c>
      <c r="F17" s="369">
        <v>48000</v>
      </c>
      <c r="G17" s="408">
        <f>param_uniform*VET_PLATILLA_ITEMS</f>
        <v>48000</v>
      </c>
      <c r="H17" s="402"/>
    </row>
    <row r="18" spans="1:11" ht="15" customHeight="1" x14ac:dyDescent="0.25">
      <c r="A18" s="373" t="s">
        <v>161</v>
      </c>
      <c r="B18" s="352" t="s">
        <v>160</v>
      </c>
      <c r="C18" s="406">
        <v>108000</v>
      </c>
      <c r="D18" s="369">
        <v>54035.43</v>
      </c>
      <c r="E18" s="406">
        <f t="shared" si="0"/>
        <v>89964.57</v>
      </c>
      <c r="F18" s="369">
        <v>144000</v>
      </c>
      <c r="G18" s="408">
        <f>H18*VET_PLATILLA_ITEMS*12</f>
        <v>144000</v>
      </c>
      <c r="H18" s="402">
        <v>1500</v>
      </c>
      <c r="K18" s="41" t="s">
        <v>610</v>
      </c>
    </row>
    <row r="19" spans="1:11" ht="15" customHeight="1" x14ac:dyDescent="0.25">
      <c r="A19" s="373" t="s">
        <v>159</v>
      </c>
      <c r="B19" s="352" t="s">
        <v>158</v>
      </c>
      <c r="C19" s="406">
        <v>10800</v>
      </c>
      <c r="D19" s="369">
        <v>5400</v>
      </c>
      <c r="E19" s="406">
        <f t="shared" si="0"/>
        <v>9000</v>
      </c>
      <c r="F19" s="369">
        <v>14400</v>
      </c>
      <c r="G19" s="408">
        <f>H19*VET_PLATILLA_ITEMS*12</f>
        <v>14400</v>
      </c>
      <c r="H19" s="402">
        <v>150</v>
      </c>
    </row>
    <row r="20" spans="1:11" ht="15" customHeight="1" x14ac:dyDescent="0.25">
      <c r="A20" s="373" t="s">
        <v>10</v>
      </c>
      <c r="B20" s="352" t="s">
        <v>175</v>
      </c>
      <c r="C20" s="406"/>
      <c r="D20" s="369"/>
      <c r="E20" s="406"/>
      <c r="F20" s="369"/>
      <c r="G20" s="408"/>
      <c r="H20" s="402"/>
    </row>
    <row r="21" spans="1:11" ht="15" customHeight="1" x14ac:dyDescent="0.25">
      <c r="A21" s="434" t="s">
        <v>337</v>
      </c>
      <c r="B21" s="352"/>
      <c r="C21" s="406">
        <v>417735.75</v>
      </c>
      <c r="D21" s="369">
        <v>218783.75</v>
      </c>
      <c r="E21" s="406">
        <f t="shared" ref="E21:E23" si="1">F21-D21</f>
        <v>211216.25</v>
      </c>
      <c r="F21" s="369">
        <v>430000</v>
      </c>
      <c r="G21" s="408">
        <v>430000</v>
      </c>
      <c r="H21" s="402"/>
    </row>
    <row r="22" spans="1:11" ht="15" customHeight="1" x14ac:dyDescent="0.25">
      <c r="A22" s="373" t="s">
        <v>17</v>
      </c>
      <c r="B22" s="352" t="s">
        <v>18</v>
      </c>
      <c r="C22" s="406">
        <v>276280</v>
      </c>
      <c r="D22" s="369"/>
      <c r="E22" s="406">
        <f t="shared" si="1"/>
        <v>320985.50000000006</v>
      </c>
      <c r="F22" s="369">
        <v>320985.50000000006</v>
      </c>
      <c r="G22" s="408">
        <f>H12/12+I22</f>
        <v>379559.8</v>
      </c>
      <c r="H22" s="402"/>
      <c r="I22" s="49">
        <f>I14/4</f>
        <v>48000</v>
      </c>
    </row>
    <row r="23" spans="1:11" ht="15" customHeight="1" x14ac:dyDescent="0.25">
      <c r="A23" s="373" t="s">
        <v>19</v>
      </c>
      <c r="B23" s="352" t="s">
        <v>20</v>
      </c>
      <c r="C23" s="406">
        <v>40000</v>
      </c>
      <c r="D23" s="369"/>
      <c r="E23" s="406">
        <f t="shared" si="1"/>
        <v>40000</v>
      </c>
      <c r="F23" s="369">
        <v>40000</v>
      </c>
      <c r="G23" s="408">
        <f>param_cash_gift*VET_PLATILLA_ITEMS</f>
        <v>40000</v>
      </c>
      <c r="H23" s="402"/>
    </row>
    <row r="24" spans="1:11" ht="15" customHeight="1" x14ac:dyDescent="0.25">
      <c r="A24" s="403" t="s">
        <v>21</v>
      </c>
      <c r="B24" s="365"/>
      <c r="C24" s="404"/>
      <c r="D24" s="366"/>
      <c r="E24" s="406"/>
      <c r="F24" s="366"/>
      <c r="G24" s="405"/>
      <c r="H24" s="402"/>
    </row>
    <row r="25" spans="1:11" ht="15" customHeight="1" x14ac:dyDescent="0.25">
      <c r="A25" s="373" t="s">
        <v>22</v>
      </c>
      <c r="B25" s="352" t="s">
        <v>23</v>
      </c>
      <c r="C25" s="406">
        <v>396296.73</v>
      </c>
      <c r="D25" s="369">
        <v>206292.72</v>
      </c>
      <c r="E25" s="406">
        <f t="shared" ref="E25:E28" si="2">F25-D25</f>
        <v>255926.40000000005</v>
      </c>
      <c r="F25" s="369">
        <v>462219.12000000005</v>
      </c>
      <c r="G25" s="408">
        <f>H12*12%</f>
        <v>477446.11199999996</v>
      </c>
      <c r="H25" s="402"/>
    </row>
    <row r="26" spans="1:11" ht="15" customHeight="1" x14ac:dyDescent="0.25">
      <c r="A26" s="373" t="s">
        <v>24</v>
      </c>
      <c r="B26" s="352" t="s">
        <v>25</v>
      </c>
      <c r="C26" s="406">
        <v>9600</v>
      </c>
      <c r="D26" s="369">
        <v>4800</v>
      </c>
      <c r="E26" s="406">
        <f t="shared" si="2"/>
        <v>9600</v>
      </c>
      <c r="F26" s="369">
        <v>14400</v>
      </c>
      <c r="G26" s="408">
        <f>param_pagibig*VET_PLATILLA_ITEMS*12</f>
        <v>14400</v>
      </c>
      <c r="H26" s="402"/>
    </row>
    <row r="27" spans="1:11" ht="15" customHeight="1" x14ac:dyDescent="0.25">
      <c r="A27" s="373" t="s">
        <v>26</v>
      </c>
      <c r="B27" s="352" t="s">
        <v>27</v>
      </c>
      <c r="C27" s="406">
        <v>40909.440000000002</v>
      </c>
      <c r="D27" s="369">
        <v>30777.7</v>
      </c>
      <c r="E27" s="406">
        <f t="shared" si="2"/>
        <v>47222.3</v>
      </c>
      <c r="F27" s="369">
        <v>78000</v>
      </c>
      <c r="G27" s="408">
        <f>ROUND(H27+(H27*0.1), -1)</f>
        <v>72790</v>
      </c>
      <c r="H27" s="402">
        <v>66172.2</v>
      </c>
    </row>
    <row r="28" spans="1:11" ht="15" customHeight="1" x14ac:dyDescent="0.25">
      <c r="A28" s="373" t="s">
        <v>28</v>
      </c>
      <c r="B28" s="352" t="s">
        <v>29</v>
      </c>
      <c r="C28" s="406">
        <v>9600</v>
      </c>
      <c r="D28" s="369">
        <v>4800</v>
      </c>
      <c r="E28" s="406">
        <f t="shared" si="2"/>
        <v>9600</v>
      </c>
      <c r="F28" s="369">
        <v>14400</v>
      </c>
      <c r="G28" s="408">
        <f>param_ecc*VET_PLATILLA_ITEMS*12</f>
        <v>14400</v>
      </c>
      <c r="H28" s="402"/>
    </row>
    <row r="29" spans="1:11" ht="15" customHeight="1" x14ac:dyDescent="0.25">
      <c r="A29" s="403" t="s">
        <v>30</v>
      </c>
      <c r="B29" s="365"/>
      <c r="C29" s="404"/>
      <c r="D29" s="366"/>
      <c r="E29" s="406"/>
      <c r="F29" s="366"/>
      <c r="G29" s="405"/>
      <c r="H29" s="402"/>
    </row>
    <row r="30" spans="1:11" ht="15" customHeight="1" x14ac:dyDescent="0.25">
      <c r="A30" s="373" t="s">
        <v>30</v>
      </c>
      <c r="B30" s="352" t="s">
        <v>33</v>
      </c>
      <c r="C30" s="406"/>
      <c r="D30" s="369"/>
      <c r="E30" s="369"/>
      <c r="F30" s="369"/>
      <c r="G30" s="408"/>
      <c r="H30" s="51">
        <f>SUM(G30:G37)</f>
        <v>464559.8</v>
      </c>
    </row>
    <row r="31" spans="1:11" ht="15" customHeight="1" x14ac:dyDescent="0.25">
      <c r="A31" s="434" t="s">
        <v>332</v>
      </c>
      <c r="B31" s="352"/>
      <c r="C31" s="406">
        <v>274558</v>
      </c>
      <c r="D31" s="369">
        <v>287081</v>
      </c>
      <c r="E31" s="406">
        <f t="shared" ref="E31:E34" si="3">F31-D31</f>
        <v>33904.500000000058</v>
      </c>
      <c r="F31" s="369">
        <v>320985.50000000006</v>
      </c>
      <c r="G31" s="408">
        <f>H12/12+I31</f>
        <v>379559.8</v>
      </c>
      <c r="H31" s="402"/>
      <c r="I31" s="49">
        <f>I14/4</f>
        <v>48000</v>
      </c>
    </row>
    <row r="32" spans="1:11" ht="15" customHeight="1" x14ac:dyDescent="0.25">
      <c r="A32" s="434" t="s">
        <v>333</v>
      </c>
      <c r="B32" s="352"/>
      <c r="C32" s="406">
        <v>40000</v>
      </c>
      <c r="D32" s="369"/>
      <c r="E32" s="406">
        <f t="shared" si="3"/>
        <v>40000</v>
      </c>
      <c r="F32" s="369">
        <v>40000</v>
      </c>
      <c r="G32" s="408">
        <f>param_pei*VET_PLATILLA_ITEMS</f>
        <v>40000</v>
      </c>
      <c r="H32" s="402"/>
    </row>
    <row r="33" spans="1:8" ht="30" customHeight="1" x14ac:dyDescent="0.25">
      <c r="A33" s="434" t="s">
        <v>649</v>
      </c>
      <c r="B33" s="352"/>
      <c r="C33" s="406"/>
      <c r="D33" s="369"/>
      <c r="E33" s="406">
        <f t="shared" si="3"/>
        <v>40000</v>
      </c>
      <c r="F33" s="369">
        <v>40000</v>
      </c>
      <c r="G33" s="408">
        <f>param_pbb*VET_PLATILLA_ITEMS</f>
        <v>40000</v>
      </c>
      <c r="H33" s="402"/>
    </row>
    <row r="34" spans="1:8" ht="15" customHeight="1" x14ac:dyDescent="0.25">
      <c r="A34" s="434" t="s">
        <v>334</v>
      </c>
      <c r="B34" s="352"/>
      <c r="C34" s="406">
        <v>10000</v>
      </c>
      <c r="D34" s="369"/>
      <c r="E34" s="406">
        <f t="shared" si="3"/>
        <v>5000</v>
      </c>
      <c r="F34" s="369">
        <v>5000</v>
      </c>
      <c r="G34" s="408">
        <v>5000</v>
      </c>
      <c r="H34" s="519"/>
    </row>
    <row r="35" spans="1:8" ht="15" customHeight="1" x14ac:dyDescent="0.25">
      <c r="A35" s="513" t="s">
        <v>650</v>
      </c>
      <c r="B35" s="479"/>
      <c r="C35" s="381">
        <v>200000</v>
      </c>
      <c r="D35" s="381"/>
      <c r="E35" s="381"/>
      <c r="F35" s="381"/>
      <c r="G35" s="381"/>
      <c r="H35" s="402"/>
    </row>
    <row r="36" spans="1:8" ht="15" customHeight="1" x14ac:dyDescent="0.25">
      <c r="A36" s="376" t="s">
        <v>652</v>
      </c>
      <c r="B36" s="352"/>
      <c r="C36" s="369"/>
      <c r="D36" s="369"/>
      <c r="E36" s="369"/>
      <c r="F36" s="369"/>
      <c r="G36" s="369"/>
      <c r="H36" s="375"/>
    </row>
    <row r="37" spans="1:8" ht="15" customHeight="1" x14ac:dyDescent="0.25">
      <c r="A37" s="378" t="s">
        <v>653</v>
      </c>
      <c r="B37" s="379"/>
      <c r="C37" s="380">
        <v>80000</v>
      </c>
      <c r="D37" s="380"/>
      <c r="E37" s="381"/>
      <c r="F37" s="380"/>
      <c r="G37" s="380"/>
      <c r="H37" s="375"/>
    </row>
    <row r="38" spans="1:8" ht="15" customHeight="1" x14ac:dyDescent="0.25">
      <c r="A38" s="396" t="s">
        <v>34</v>
      </c>
      <c r="B38" s="397"/>
      <c r="C38" s="398">
        <f>SUM(C11:C37)</f>
        <v>5479941.1500000013</v>
      </c>
      <c r="D38" s="398">
        <f t="shared" ref="D38:F38" si="4">SUM(D11:D37)</f>
        <v>2756468.2000000007</v>
      </c>
      <c r="E38" s="398">
        <f t="shared" si="4"/>
        <v>3421747.92</v>
      </c>
      <c r="F38" s="398">
        <f t="shared" si="4"/>
        <v>6178216.1200000001</v>
      </c>
      <c r="G38" s="398">
        <f>SUM(G11:G37)</f>
        <v>6528273.311999999</v>
      </c>
      <c r="H38" s="16"/>
    </row>
    <row r="39" spans="1:8" ht="15" customHeight="1" x14ac:dyDescent="0.25">
      <c r="A39" s="429" t="s">
        <v>35</v>
      </c>
      <c r="B39" s="362"/>
      <c r="C39" s="430"/>
      <c r="D39" s="363"/>
      <c r="E39" s="430"/>
      <c r="F39" s="525"/>
      <c r="G39" s="562"/>
      <c r="H39" s="16"/>
    </row>
    <row r="40" spans="1:8" ht="15" customHeight="1" x14ac:dyDescent="0.25">
      <c r="A40" s="403" t="s">
        <v>55</v>
      </c>
      <c r="B40" s="365"/>
      <c r="C40" s="404"/>
      <c r="D40" s="366"/>
      <c r="E40" s="406"/>
      <c r="F40" s="366"/>
      <c r="G40" s="467"/>
      <c r="H40" s="16"/>
    </row>
    <row r="41" spans="1:8" ht="15" customHeight="1" x14ac:dyDescent="0.25">
      <c r="A41" s="373" t="s">
        <v>56</v>
      </c>
      <c r="B41" s="352" t="s">
        <v>57</v>
      </c>
      <c r="C41" s="406">
        <v>5175</v>
      </c>
      <c r="D41" s="369">
        <v>1250</v>
      </c>
      <c r="E41" s="406">
        <f>F41-D41</f>
        <v>13750</v>
      </c>
      <c r="F41" s="369">
        <v>15000</v>
      </c>
      <c r="G41" s="470">
        <v>20000</v>
      </c>
      <c r="H41" s="16"/>
    </row>
    <row r="42" spans="1:8" ht="15" customHeight="1" x14ac:dyDescent="0.25">
      <c r="A42" s="403" t="s">
        <v>58</v>
      </c>
      <c r="B42" s="365"/>
      <c r="C42" s="404"/>
      <c r="D42" s="366"/>
      <c r="E42" s="406"/>
      <c r="F42" s="366"/>
      <c r="G42" s="467"/>
    </row>
    <row r="43" spans="1:8" ht="15" customHeight="1" x14ac:dyDescent="0.25">
      <c r="A43" s="373" t="s">
        <v>61</v>
      </c>
      <c r="B43" s="352" t="s">
        <v>62</v>
      </c>
      <c r="C43" s="406">
        <v>20300</v>
      </c>
      <c r="D43" s="369">
        <v>5700</v>
      </c>
      <c r="E43" s="406">
        <f t="shared" ref="E43:E44" si="5">F43-D43</f>
        <v>30300</v>
      </c>
      <c r="F43" s="369">
        <v>36000</v>
      </c>
      <c r="G43" s="369">
        <v>36000</v>
      </c>
    </row>
    <row r="44" spans="1:8" x14ac:dyDescent="0.25">
      <c r="A44" s="373" t="s">
        <v>63</v>
      </c>
      <c r="B44" s="352" t="s">
        <v>64</v>
      </c>
      <c r="C44" s="406">
        <v>29000</v>
      </c>
      <c r="D44" s="369">
        <v>15000</v>
      </c>
      <c r="E44" s="406">
        <f t="shared" si="5"/>
        <v>21000</v>
      </c>
      <c r="F44" s="386">
        <v>36000</v>
      </c>
      <c r="G44" s="470">
        <v>36000</v>
      </c>
    </row>
    <row r="45" spans="1:8" ht="15" customHeight="1" x14ac:dyDescent="0.25">
      <c r="A45" s="403" t="s">
        <v>79</v>
      </c>
      <c r="B45" s="365"/>
      <c r="C45" s="404"/>
      <c r="D45" s="366"/>
      <c r="E45" s="406"/>
      <c r="F45" s="366"/>
      <c r="G45" s="467"/>
    </row>
    <row r="46" spans="1:8" ht="15" customHeight="1" x14ac:dyDescent="0.25">
      <c r="A46" s="373" t="s">
        <v>80</v>
      </c>
      <c r="B46" s="352" t="s">
        <v>81</v>
      </c>
      <c r="C46" s="406">
        <v>3189550</v>
      </c>
      <c r="D46" s="369">
        <v>1670900</v>
      </c>
      <c r="E46" s="406">
        <f>F46-D46</f>
        <v>1879100</v>
      </c>
      <c r="F46" s="369">
        <v>3550000</v>
      </c>
      <c r="G46" s="408">
        <v>4279680</v>
      </c>
      <c r="H46" s="282">
        <v>4279680</v>
      </c>
    </row>
    <row r="47" spans="1:8" x14ac:dyDescent="0.25">
      <c r="A47" s="434" t="s">
        <v>456</v>
      </c>
      <c r="B47" s="352"/>
      <c r="C47" s="406"/>
      <c r="D47" s="369"/>
      <c r="E47" s="406"/>
      <c r="F47" s="369">
        <v>50000</v>
      </c>
      <c r="G47" s="470"/>
    </row>
    <row r="48" spans="1:8" x14ac:dyDescent="0.25">
      <c r="A48" s="434" t="s">
        <v>671</v>
      </c>
      <c r="B48" s="352"/>
      <c r="C48" s="406"/>
      <c r="D48" s="369"/>
      <c r="E48" s="406"/>
      <c r="F48" s="369"/>
      <c r="G48" s="470"/>
    </row>
    <row r="49" spans="1:8" x14ac:dyDescent="0.25">
      <c r="A49" s="434" t="s">
        <v>672</v>
      </c>
      <c r="B49" s="352"/>
      <c r="C49" s="406"/>
      <c r="D49" s="369"/>
      <c r="E49" s="406"/>
      <c r="F49" s="369">
        <v>50000</v>
      </c>
      <c r="G49" s="470"/>
    </row>
    <row r="50" spans="1:8" ht="15" customHeight="1" x14ac:dyDescent="0.25">
      <c r="A50" s="403" t="s">
        <v>42</v>
      </c>
      <c r="B50" s="365"/>
      <c r="C50" s="404"/>
      <c r="D50" s="366"/>
      <c r="E50" s="366"/>
      <c r="F50" s="366"/>
      <c r="G50" s="467"/>
    </row>
    <row r="51" spans="1:8" ht="30" customHeight="1" x14ac:dyDescent="0.25">
      <c r="A51" s="373" t="s">
        <v>42</v>
      </c>
      <c r="B51" s="433" t="s">
        <v>176</v>
      </c>
      <c r="C51" s="406">
        <v>41019.5</v>
      </c>
      <c r="D51" s="369"/>
      <c r="E51" s="406">
        <f t="shared" ref="E51:E52" si="6">F51-D51</f>
        <v>50000</v>
      </c>
      <c r="F51" s="369">
        <v>50000</v>
      </c>
      <c r="G51" s="470">
        <v>50000</v>
      </c>
    </row>
    <row r="52" spans="1:8" ht="41.25" customHeight="1" x14ac:dyDescent="0.25">
      <c r="A52" s="434" t="s">
        <v>877</v>
      </c>
      <c r="B52" s="433"/>
      <c r="C52" s="406"/>
      <c r="D52" s="369"/>
      <c r="E52" s="809">
        <f t="shared" si="6"/>
        <v>0</v>
      </c>
      <c r="F52" s="810"/>
      <c r="G52" s="470">
        <v>50000</v>
      </c>
    </row>
    <row r="53" spans="1:8" ht="30" customHeight="1" x14ac:dyDescent="0.25">
      <c r="A53" s="434" t="s">
        <v>878</v>
      </c>
      <c r="B53" s="352"/>
      <c r="C53" s="406"/>
      <c r="D53" s="369"/>
      <c r="E53" s="406"/>
      <c r="F53" s="369">
        <v>20000</v>
      </c>
      <c r="G53" s="470"/>
    </row>
    <row r="54" spans="1:8" ht="45" customHeight="1" x14ac:dyDescent="0.25">
      <c r="A54" s="434" t="s">
        <v>321</v>
      </c>
      <c r="B54" s="352"/>
      <c r="C54" s="406"/>
      <c r="D54" s="369"/>
      <c r="E54" s="406"/>
      <c r="F54" s="369">
        <v>355000</v>
      </c>
      <c r="G54" s="470"/>
    </row>
    <row r="55" spans="1:8" ht="30" customHeight="1" x14ac:dyDescent="0.25">
      <c r="A55" s="434" t="s">
        <v>339</v>
      </c>
      <c r="B55" s="433"/>
      <c r="C55" s="406"/>
      <c r="D55" s="369"/>
      <c r="E55" s="406"/>
      <c r="F55" s="369"/>
      <c r="G55" s="563"/>
    </row>
    <row r="56" spans="1:8" ht="45" customHeight="1" x14ac:dyDescent="0.25">
      <c r="A56" s="434" t="s">
        <v>322</v>
      </c>
      <c r="B56" s="433"/>
      <c r="C56" s="406"/>
      <c r="D56" s="369"/>
      <c r="E56" s="406"/>
      <c r="F56" s="369"/>
      <c r="G56" s="563"/>
    </row>
    <row r="57" spans="1:8" ht="30" customHeight="1" x14ac:dyDescent="0.25">
      <c r="A57" s="434" t="s">
        <v>323</v>
      </c>
      <c r="B57" s="433"/>
      <c r="C57" s="406"/>
      <c r="D57" s="369">
        <v>27350</v>
      </c>
      <c r="E57" s="406">
        <f>F57-D57</f>
        <v>52650</v>
      </c>
      <c r="F57" s="369">
        <v>80000</v>
      </c>
      <c r="G57" s="470"/>
    </row>
    <row r="58" spans="1:8" ht="30" customHeight="1" x14ac:dyDescent="0.25">
      <c r="A58" s="434" t="s">
        <v>324</v>
      </c>
      <c r="B58" s="433"/>
      <c r="C58" s="406"/>
      <c r="D58" s="369">
        <v>16200</v>
      </c>
      <c r="E58" s="406">
        <f>F58-D58</f>
        <v>83800</v>
      </c>
      <c r="F58" s="369">
        <v>100000</v>
      </c>
      <c r="G58" s="470"/>
    </row>
    <row r="59" spans="1:8" ht="30" customHeight="1" x14ac:dyDescent="0.25">
      <c r="A59" s="434" t="s">
        <v>325</v>
      </c>
      <c r="B59" s="433"/>
      <c r="C59" s="406"/>
      <c r="D59" s="369"/>
      <c r="E59" s="406">
        <f t="shared" ref="E59:E61" si="7">F59-D59</f>
        <v>20000</v>
      </c>
      <c r="F59" s="369">
        <v>20000</v>
      </c>
      <c r="G59" s="470">
        <v>30000</v>
      </c>
    </row>
    <row r="60" spans="1:8" ht="30" customHeight="1" x14ac:dyDescent="0.25">
      <c r="A60" s="434" t="s">
        <v>340</v>
      </c>
      <c r="B60" s="433"/>
      <c r="C60" s="406">
        <v>43826</v>
      </c>
      <c r="D60" s="369"/>
      <c r="E60" s="406">
        <f t="shared" si="7"/>
        <v>0</v>
      </c>
      <c r="F60" s="369"/>
      <c r="G60" s="470"/>
    </row>
    <row r="61" spans="1:8" ht="30" customHeight="1" x14ac:dyDescent="0.25">
      <c r="A61" s="434" t="s">
        <v>498</v>
      </c>
      <c r="B61" s="433"/>
      <c r="C61" s="406">
        <v>6250</v>
      </c>
      <c r="D61" s="369"/>
      <c r="E61" s="406">
        <f t="shared" si="7"/>
        <v>0</v>
      </c>
      <c r="F61" s="369"/>
      <c r="G61" s="470"/>
      <c r="H61" s="16"/>
    </row>
    <row r="62" spans="1:8" ht="30" customHeight="1" x14ac:dyDescent="0.25">
      <c r="A62" s="396" t="s">
        <v>86</v>
      </c>
      <c r="B62" s="397"/>
      <c r="C62" s="398">
        <f>SUM(C39:C61)</f>
        <v>3335120.5</v>
      </c>
      <c r="D62" s="398">
        <f t="shared" ref="D62:F62" si="8">SUM(D39:D61)</f>
        <v>1736400</v>
      </c>
      <c r="E62" s="398">
        <f t="shared" si="8"/>
        <v>2150600</v>
      </c>
      <c r="F62" s="398">
        <f t="shared" si="8"/>
        <v>4362000</v>
      </c>
      <c r="G62" s="398">
        <f>SUM(G40:G61)</f>
        <v>4501680</v>
      </c>
      <c r="H62" s="786">
        <v>4566680</v>
      </c>
    </row>
    <row r="63" spans="1:8" x14ac:dyDescent="0.25">
      <c r="A63" s="429" t="s">
        <v>88</v>
      </c>
      <c r="B63" s="362"/>
      <c r="C63" s="430"/>
      <c r="D63" s="363"/>
      <c r="E63" s="430"/>
      <c r="F63" s="363"/>
      <c r="G63" s="431">
        <v>0</v>
      </c>
      <c r="H63" s="439"/>
    </row>
    <row r="64" spans="1:8" x14ac:dyDescent="0.25">
      <c r="A64" s="396" t="s">
        <v>112</v>
      </c>
      <c r="B64" s="436"/>
      <c r="C64" s="398">
        <f>SUM(C63:C63)</f>
        <v>0</v>
      </c>
      <c r="D64" s="398">
        <f>SUM(D63:D63)</f>
        <v>0</v>
      </c>
      <c r="E64" s="398">
        <f>SUM(E63:E63)</f>
        <v>0</v>
      </c>
      <c r="F64" s="398">
        <f>SUM(F63:F63)</f>
        <v>0</v>
      </c>
      <c r="G64" s="398">
        <f>SUM(G63:G63)</f>
        <v>0</v>
      </c>
      <c r="H64" s="16"/>
    </row>
    <row r="65" spans="1:8" x14ac:dyDescent="0.25">
      <c r="A65" s="419" t="s">
        <v>113</v>
      </c>
      <c r="B65" s="437"/>
      <c r="C65" s="421">
        <f>C38+C62+C64</f>
        <v>8815061.6500000022</v>
      </c>
      <c r="D65" s="421">
        <f>D38+D62+D64</f>
        <v>4492868.2000000011</v>
      </c>
      <c r="E65" s="421">
        <f>E38+E62+E64</f>
        <v>5572347.9199999999</v>
      </c>
      <c r="F65" s="421">
        <f>F38+F62+F64</f>
        <v>10540216.120000001</v>
      </c>
      <c r="G65" s="421">
        <f>G38+G62+G64</f>
        <v>11029953.311999999</v>
      </c>
      <c r="H65" s="16"/>
    </row>
    <row r="66" spans="1:8" x14ac:dyDescent="0.25">
      <c r="A66" s="16"/>
      <c r="B66" s="16"/>
      <c r="C66" s="16"/>
      <c r="D66" s="16"/>
      <c r="E66" s="16"/>
      <c r="F66" s="527"/>
      <c r="G66" s="564"/>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ht="38.25" customHeight="1"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353"/>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0" firstPageNumber="45" fitToHeight="0" orientation="portrait" horizontalDpi="360" verticalDpi="360" r:id="rId1"/>
  <headerFooter scaleWithDoc="0">
    <oddFooter>&amp;C&amp;"Candara,Regular"&amp;10Page &amp;"Candara,Bold"&amp;P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0"/>
    <pageSetUpPr fitToPage="1"/>
  </sheetPr>
  <dimension ref="A1:K90"/>
  <sheetViews>
    <sheetView view="pageBreakPreview" topLeftCell="A4" zoomScale="115" zoomScaleNormal="130" zoomScaleSheetLayoutView="115" workbookViewId="0">
      <pane xSplit="2" ySplit="5" topLeftCell="C39"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6" width="14.7109375" style="41" customWidth="1"/>
    <col min="7" max="7" width="15.28515625" style="41" bestFit="1" customWidth="1"/>
    <col min="8" max="8" width="16.7109375" style="41" bestFit="1" customWidth="1"/>
    <col min="9" max="9" width="11" style="41" customWidth="1"/>
    <col min="10" max="10" width="12.28515625" style="49" bestFit="1" customWidth="1"/>
    <col min="11" max="16384" width="9.140625" style="41"/>
  </cols>
  <sheetData>
    <row r="1" spans="1:10" ht="15" customHeight="1" x14ac:dyDescent="0.25">
      <c r="A1" s="1071" t="s">
        <v>807</v>
      </c>
      <c r="B1" s="1071"/>
      <c r="C1" s="1071"/>
      <c r="D1" s="1071"/>
      <c r="E1" s="1071"/>
      <c r="F1" s="1071"/>
      <c r="G1" s="1071"/>
    </row>
    <row r="2" spans="1:10" ht="18.75" customHeight="1" x14ac:dyDescent="0.3">
      <c r="A2" s="1072" t="s">
        <v>232</v>
      </c>
      <c r="B2" s="1072"/>
      <c r="C2" s="1072"/>
      <c r="D2" s="1072"/>
      <c r="E2" s="1072"/>
      <c r="F2" s="1072"/>
      <c r="G2" s="1072"/>
    </row>
    <row r="3" spans="1:10" ht="15.75" customHeight="1" x14ac:dyDescent="0.25">
      <c r="A3" s="1073" t="s">
        <v>233</v>
      </c>
      <c r="B3" s="1073"/>
      <c r="C3" s="1073"/>
      <c r="D3" s="1073"/>
      <c r="E3" s="1073"/>
      <c r="F3" s="1073"/>
      <c r="G3" s="1073"/>
    </row>
    <row r="4" spans="1:10" ht="15" customHeight="1" x14ac:dyDescent="0.25">
      <c r="A4" s="1074" t="s">
        <v>166</v>
      </c>
      <c r="B4" s="1075"/>
      <c r="C4" s="1075"/>
      <c r="D4" s="1075"/>
      <c r="E4" s="1075"/>
      <c r="F4" s="1075"/>
      <c r="G4" s="1075"/>
    </row>
    <row r="6" spans="1:10" s="43" customFormat="1" ht="12" x14ac:dyDescent="0.2">
      <c r="A6" s="1099" t="s">
        <v>1</v>
      </c>
      <c r="B6" s="1099" t="s">
        <v>2</v>
      </c>
      <c r="C6" s="1099" t="s">
        <v>310</v>
      </c>
      <c r="D6" s="1100" t="s">
        <v>307</v>
      </c>
      <c r="E6" s="1100"/>
      <c r="F6" s="1100"/>
      <c r="G6" s="1099" t="s">
        <v>311</v>
      </c>
      <c r="H6" s="358"/>
      <c r="J6" s="1046"/>
    </row>
    <row r="7" spans="1:10" s="43" customFormat="1" ht="12" x14ac:dyDescent="0.2">
      <c r="A7" s="1099"/>
      <c r="B7" s="1099"/>
      <c r="C7" s="1099"/>
      <c r="D7" s="1100"/>
      <c r="E7" s="1100"/>
      <c r="F7" s="1100"/>
      <c r="G7" s="1099"/>
      <c r="H7" s="358"/>
      <c r="J7" s="1046"/>
    </row>
    <row r="8" spans="1:10" s="43" customFormat="1" ht="24" x14ac:dyDescent="0.2">
      <c r="A8" s="1099"/>
      <c r="B8" s="1099"/>
      <c r="C8" s="1099"/>
      <c r="D8" s="359" t="s">
        <v>308</v>
      </c>
      <c r="E8" s="359" t="s">
        <v>309</v>
      </c>
      <c r="F8" s="359" t="s">
        <v>3</v>
      </c>
      <c r="G8" s="1099"/>
      <c r="H8" s="358"/>
      <c r="J8" s="1046"/>
    </row>
    <row r="9" spans="1:10" s="70" customFormat="1" ht="11.25" x14ac:dyDescent="0.25">
      <c r="A9" s="360">
        <v>1</v>
      </c>
      <c r="B9" s="360">
        <v>2</v>
      </c>
      <c r="C9" s="360">
        <v>3</v>
      </c>
      <c r="D9" s="360">
        <v>4</v>
      </c>
      <c r="E9" s="360">
        <v>5</v>
      </c>
      <c r="F9" s="360">
        <v>6</v>
      </c>
      <c r="G9" s="360">
        <v>7</v>
      </c>
      <c r="H9" s="423" t="s">
        <v>497</v>
      </c>
      <c r="J9" s="1047"/>
    </row>
    <row r="10" spans="1:10" ht="15" customHeight="1" x14ac:dyDescent="0.25">
      <c r="A10" s="429" t="s">
        <v>4</v>
      </c>
      <c r="B10" s="362"/>
      <c r="C10" s="430"/>
      <c r="D10" s="363"/>
      <c r="E10" s="430"/>
      <c r="F10" s="363"/>
      <c r="G10" s="431"/>
      <c r="H10" s="18">
        <v>7</v>
      </c>
    </row>
    <row r="11" spans="1:10" ht="15" customHeight="1" x14ac:dyDescent="0.25">
      <c r="A11" s="403" t="s">
        <v>5</v>
      </c>
      <c r="B11" s="365"/>
      <c r="C11" s="404"/>
      <c r="D11" s="366"/>
      <c r="E11" s="404"/>
      <c r="F11" s="366"/>
      <c r="G11" s="405"/>
      <c r="H11" s="16"/>
    </row>
    <row r="12" spans="1:10" ht="15" customHeight="1" x14ac:dyDescent="0.25">
      <c r="A12" s="373" t="str">
        <f>"Salaries and Wages - Regular (" &amp; H10 &amp; ")"</f>
        <v>Salaries and Wages - Regular (7)</v>
      </c>
      <c r="B12" s="352" t="s">
        <v>6</v>
      </c>
      <c r="C12" s="406">
        <v>2396141.2200000002</v>
      </c>
      <c r="D12" s="369">
        <v>1222342.97</v>
      </c>
      <c r="E12" s="406">
        <f>F12-D12</f>
        <v>1955953.0300000005</v>
      </c>
      <c r="F12" s="369">
        <v>3178296.0000000005</v>
      </c>
      <c r="G12" s="559">
        <f>H12+J12</f>
        <v>3370509.6</v>
      </c>
      <c r="H12" s="438">
        <v>3286509.6</v>
      </c>
      <c r="J12" s="49">
        <f>J14/2</f>
        <v>84000</v>
      </c>
    </row>
    <row r="13" spans="1:10" ht="15" customHeight="1" x14ac:dyDescent="0.25">
      <c r="A13" s="403" t="s">
        <v>7</v>
      </c>
      <c r="B13" s="365"/>
      <c r="C13" s="404"/>
      <c r="D13" s="366"/>
      <c r="E13" s="404"/>
      <c r="F13" s="366"/>
      <c r="G13" s="405"/>
      <c r="H13" s="402"/>
    </row>
    <row r="14" spans="1:10" ht="15" customHeight="1" x14ac:dyDescent="0.25">
      <c r="A14" s="373" t="s">
        <v>8</v>
      </c>
      <c r="B14" s="352" t="s">
        <v>9</v>
      </c>
      <c r="C14" s="406">
        <v>145500</v>
      </c>
      <c r="D14" s="369">
        <v>68000</v>
      </c>
      <c r="E14" s="406">
        <f t="shared" ref="E14:E25" si="0">F14-D14</f>
        <v>100000</v>
      </c>
      <c r="F14" s="369">
        <v>168000</v>
      </c>
      <c r="G14" s="408">
        <f>param_pera*CENRO_PLATILLA_ITEMS*12</f>
        <v>168000</v>
      </c>
      <c r="H14" s="402"/>
      <c r="J14" s="49">
        <v>168000</v>
      </c>
    </row>
    <row r="15" spans="1:10" ht="15" customHeight="1" x14ac:dyDescent="0.25">
      <c r="A15" s="373" t="s">
        <v>11</v>
      </c>
      <c r="B15" s="352" t="s">
        <v>12</v>
      </c>
      <c r="C15" s="406">
        <v>81000</v>
      </c>
      <c r="D15" s="369">
        <v>40500</v>
      </c>
      <c r="E15" s="406">
        <f t="shared" si="0"/>
        <v>40500</v>
      </c>
      <c r="F15" s="369">
        <v>81000</v>
      </c>
      <c r="G15" s="408">
        <f>H15*12</f>
        <v>81000</v>
      </c>
      <c r="H15" s="402">
        <v>6750</v>
      </c>
    </row>
    <row r="16" spans="1:10" ht="15" customHeight="1" x14ac:dyDescent="0.25">
      <c r="A16" s="373" t="s">
        <v>13</v>
      </c>
      <c r="B16" s="352" t="s">
        <v>14</v>
      </c>
      <c r="C16" s="406">
        <v>81000</v>
      </c>
      <c r="D16" s="369">
        <v>40500</v>
      </c>
      <c r="E16" s="406">
        <f t="shared" si="0"/>
        <v>40500</v>
      </c>
      <c r="F16" s="369">
        <v>81000</v>
      </c>
      <c r="G16" s="408">
        <f>H16*12</f>
        <v>81000</v>
      </c>
      <c r="H16" s="402">
        <v>6750</v>
      </c>
    </row>
    <row r="17" spans="1:11" ht="15" customHeight="1" x14ac:dyDescent="0.25">
      <c r="A17" s="373" t="s">
        <v>15</v>
      </c>
      <c r="B17" s="352" t="s">
        <v>16</v>
      </c>
      <c r="C17" s="406">
        <v>42000</v>
      </c>
      <c r="D17" s="369">
        <v>36000</v>
      </c>
      <c r="E17" s="406">
        <f t="shared" si="0"/>
        <v>6000</v>
      </c>
      <c r="F17" s="369">
        <v>42000</v>
      </c>
      <c r="G17" s="408">
        <f>param_uniform*CENRO_PLATILLA_ITEMS</f>
        <v>42000</v>
      </c>
      <c r="H17" s="402"/>
    </row>
    <row r="18" spans="1:11" ht="15" customHeight="1" x14ac:dyDescent="0.25">
      <c r="A18" s="373" t="s">
        <v>570</v>
      </c>
      <c r="B18" s="352" t="s">
        <v>175</v>
      </c>
      <c r="C18" s="406"/>
      <c r="D18" s="369"/>
      <c r="E18" s="406"/>
      <c r="F18" s="369"/>
      <c r="G18" s="408"/>
      <c r="H18" s="402"/>
    </row>
    <row r="19" spans="1:11" ht="15" customHeight="1" x14ac:dyDescent="0.25">
      <c r="A19" s="373" t="s">
        <v>17</v>
      </c>
      <c r="B19" s="352" t="s">
        <v>18</v>
      </c>
      <c r="C19" s="406">
        <v>200886</v>
      </c>
      <c r="D19" s="369"/>
      <c r="E19" s="406">
        <f t="shared" si="0"/>
        <v>264858.00000000006</v>
      </c>
      <c r="F19" s="369">
        <v>264858.00000000006</v>
      </c>
      <c r="G19" s="408">
        <f>H12/12+J19</f>
        <v>315875.8</v>
      </c>
      <c r="H19" s="402"/>
      <c r="J19" s="49">
        <f>J14/4</f>
        <v>42000</v>
      </c>
    </row>
    <row r="20" spans="1:11" ht="15" customHeight="1" x14ac:dyDescent="0.25">
      <c r="A20" s="373" t="s">
        <v>19</v>
      </c>
      <c r="B20" s="352" t="s">
        <v>20</v>
      </c>
      <c r="C20" s="406">
        <v>30000</v>
      </c>
      <c r="D20" s="369"/>
      <c r="E20" s="406">
        <f t="shared" si="0"/>
        <v>35000</v>
      </c>
      <c r="F20" s="369">
        <v>35000</v>
      </c>
      <c r="G20" s="408">
        <f>param_cash_gift*CENRO_PLATILLA_ITEMS</f>
        <v>35000</v>
      </c>
      <c r="H20" s="402"/>
      <c r="K20" s="41" t="s">
        <v>610</v>
      </c>
    </row>
    <row r="21" spans="1:11" ht="15" customHeight="1" x14ac:dyDescent="0.25">
      <c r="A21" s="403" t="s">
        <v>21</v>
      </c>
      <c r="B21" s="365"/>
      <c r="C21" s="404"/>
      <c r="D21" s="366"/>
      <c r="E21" s="406"/>
      <c r="F21" s="366"/>
      <c r="G21" s="405"/>
      <c r="H21" s="402"/>
    </row>
    <row r="22" spans="1:11" ht="15" customHeight="1" x14ac:dyDescent="0.25">
      <c r="A22" s="373" t="s">
        <v>22</v>
      </c>
      <c r="B22" s="352" t="s">
        <v>23</v>
      </c>
      <c r="C22" s="406">
        <v>287325.71999999997</v>
      </c>
      <c r="D22" s="369">
        <v>146372.39000000001</v>
      </c>
      <c r="E22" s="406">
        <f t="shared" si="0"/>
        <v>235023.13</v>
      </c>
      <c r="F22" s="369">
        <v>381395.52</v>
      </c>
      <c r="G22" s="408">
        <f>H12*12%</f>
        <v>394381.152</v>
      </c>
      <c r="H22" s="402"/>
    </row>
    <row r="23" spans="1:11" ht="15" customHeight="1" x14ac:dyDescent="0.25">
      <c r="A23" s="373" t="s">
        <v>24</v>
      </c>
      <c r="B23" s="352" t="s">
        <v>25</v>
      </c>
      <c r="C23" s="406">
        <v>7200</v>
      </c>
      <c r="D23" s="369">
        <v>3400</v>
      </c>
      <c r="E23" s="406">
        <f t="shared" si="0"/>
        <v>9200</v>
      </c>
      <c r="F23" s="369">
        <v>12600</v>
      </c>
      <c r="G23" s="408">
        <f>param_pagibig*CENRO_PLATILLA_ITEMS*12</f>
        <v>12600</v>
      </c>
      <c r="H23" s="402"/>
    </row>
    <row r="24" spans="1:11" ht="15" customHeight="1" x14ac:dyDescent="0.25">
      <c r="A24" s="373" t="s">
        <v>26</v>
      </c>
      <c r="B24" s="352" t="s">
        <v>27</v>
      </c>
      <c r="C24" s="406">
        <v>29385.78</v>
      </c>
      <c r="D24" s="369">
        <v>21669.06</v>
      </c>
      <c r="E24" s="406">
        <f t="shared" si="0"/>
        <v>35330.94</v>
      </c>
      <c r="F24" s="369">
        <v>57000</v>
      </c>
      <c r="G24" s="408">
        <f>ROUND(H24+(H24*0.1), -1)</f>
        <v>64860</v>
      </c>
      <c r="H24" s="402">
        <v>58963.94</v>
      </c>
    </row>
    <row r="25" spans="1:11" ht="15" customHeight="1" x14ac:dyDescent="0.25">
      <c r="A25" s="373" t="s">
        <v>28</v>
      </c>
      <c r="B25" s="352" t="s">
        <v>29</v>
      </c>
      <c r="C25" s="406">
        <v>7200</v>
      </c>
      <c r="D25" s="369">
        <v>3500</v>
      </c>
      <c r="E25" s="406">
        <f t="shared" si="0"/>
        <v>9100</v>
      </c>
      <c r="F25" s="369">
        <v>12600</v>
      </c>
      <c r="G25" s="408">
        <f>param_ecc*CENRO_PLATILLA_ITEMS*12</f>
        <v>12600</v>
      </c>
      <c r="H25" s="402"/>
    </row>
    <row r="26" spans="1:11" ht="15" customHeight="1" x14ac:dyDescent="0.25">
      <c r="A26" s="403" t="s">
        <v>30</v>
      </c>
      <c r="B26" s="365"/>
      <c r="C26" s="404"/>
      <c r="D26" s="366"/>
      <c r="E26" s="404"/>
      <c r="F26" s="366"/>
      <c r="G26" s="405"/>
      <c r="H26" s="402"/>
    </row>
    <row r="27" spans="1:11" ht="15" customHeight="1" x14ac:dyDescent="0.25">
      <c r="A27" s="373" t="s">
        <v>30</v>
      </c>
      <c r="B27" s="352" t="s">
        <v>33</v>
      </c>
      <c r="C27" s="406"/>
      <c r="D27" s="369"/>
      <c r="E27" s="369"/>
      <c r="F27" s="369"/>
      <c r="G27" s="408"/>
      <c r="H27" s="519">
        <f>SUM(G27:G34)</f>
        <v>390875.8</v>
      </c>
    </row>
    <row r="28" spans="1:11" ht="15" customHeight="1" x14ac:dyDescent="0.25">
      <c r="A28" s="434" t="s">
        <v>332</v>
      </c>
      <c r="B28" s="352"/>
      <c r="C28" s="406">
        <v>199336</v>
      </c>
      <c r="D28" s="369">
        <v>191114</v>
      </c>
      <c r="E28" s="406">
        <f t="shared" ref="E28:E30" si="1">F28-D28</f>
        <v>73744.000000000058</v>
      </c>
      <c r="F28" s="369">
        <v>264858.00000000006</v>
      </c>
      <c r="G28" s="408">
        <f>H12/12+J28</f>
        <v>315875.8</v>
      </c>
      <c r="H28" s="402"/>
      <c r="J28" s="49">
        <f>J14/4</f>
        <v>42000</v>
      </c>
    </row>
    <row r="29" spans="1:11" ht="15" customHeight="1" x14ac:dyDescent="0.25">
      <c r="A29" s="434" t="s">
        <v>333</v>
      </c>
      <c r="B29" s="352"/>
      <c r="C29" s="406">
        <v>30000</v>
      </c>
      <c r="D29" s="369"/>
      <c r="E29" s="406">
        <f t="shared" si="1"/>
        <v>35000</v>
      </c>
      <c r="F29" s="369">
        <v>35000</v>
      </c>
      <c r="G29" s="408">
        <f>param_pei*CENRO_PLATILLA_ITEMS</f>
        <v>35000</v>
      </c>
      <c r="H29" s="402"/>
    </row>
    <row r="30" spans="1:11" ht="30" customHeight="1" x14ac:dyDescent="0.25">
      <c r="A30" s="434" t="s">
        <v>649</v>
      </c>
      <c r="B30" s="352"/>
      <c r="C30" s="406"/>
      <c r="D30" s="369"/>
      <c r="E30" s="406">
        <f t="shared" si="1"/>
        <v>35000</v>
      </c>
      <c r="F30" s="369">
        <v>35000</v>
      </c>
      <c r="G30" s="408">
        <f>param_pbb*CENRO_PLATILLA_ITEMS</f>
        <v>35000</v>
      </c>
      <c r="H30" s="402"/>
    </row>
    <row r="31" spans="1:11" ht="15" customHeight="1" x14ac:dyDescent="0.25">
      <c r="A31" s="434" t="s">
        <v>334</v>
      </c>
      <c r="B31" s="352"/>
      <c r="C31" s="406"/>
      <c r="D31" s="369"/>
      <c r="E31" s="406"/>
      <c r="F31" s="369">
        <v>5000</v>
      </c>
      <c r="G31" s="408">
        <v>5000</v>
      </c>
      <c r="H31" s="446"/>
    </row>
    <row r="32" spans="1:11" ht="15" customHeight="1" x14ac:dyDescent="0.25">
      <c r="A32" s="513" t="s">
        <v>650</v>
      </c>
      <c r="B32" s="479"/>
      <c r="C32" s="381">
        <v>150000</v>
      </c>
      <c r="D32" s="381"/>
      <c r="E32" s="381"/>
      <c r="F32" s="381"/>
      <c r="G32" s="381"/>
      <c r="H32" s="375"/>
    </row>
    <row r="33" spans="1:8" ht="15" customHeight="1" x14ac:dyDescent="0.25">
      <c r="A33" s="376" t="s">
        <v>652</v>
      </c>
      <c r="B33" s="352"/>
      <c r="C33" s="369"/>
      <c r="D33" s="369"/>
      <c r="E33" s="369"/>
      <c r="F33" s="369"/>
      <c r="G33" s="369"/>
      <c r="H33" s="375"/>
    </row>
    <row r="34" spans="1:8" ht="15" customHeight="1" x14ac:dyDescent="0.25">
      <c r="A34" s="378" t="s">
        <v>653</v>
      </c>
      <c r="B34" s="379"/>
      <c r="C34" s="380">
        <v>60000</v>
      </c>
      <c r="D34" s="380"/>
      <c r="E34" s="381"/>
      <c r="F34" s="380"/>
      <c r="G34" s="380"/>
      <c r="H34" s="375"/>
    </row>
    <row r="35" spans="1:8" ht="15" customHeight="1" x14ac:dyDescent="0.25">
      <c r="A35" s="396" t="s">
        <v>34</v>
      </c>
      <c r="B35" s="397"/>
      <c r="C35" s="398">
        <f>SUM(C11:C34)</f>
        <v>3746974.72</v>
      </c>
      <c r="D35" s="398">
        <f t="shared" ref="D35:F35" si="2">SUM(D11:D34)</f>
        <v>1773398.42</v>
      </c>
      <c r="E35" s="398">
        <f t="shared" si="2"/>
        <v>2875209.1</v>
      </c>
      <c r="F35" s="398">
        <f t="shared" si="2"/>
        <v>4653607.5200000005</v>
      </c>
      <c r="G35" s="398">
        <f>SUM(G11:G34)</f>
        <v>4968702.352</v>
      </c>
      <c r="H35" s="560"/>
    </row>
    <row r="36" spans="1:8" ht="15" customHeight="1" x14ac:dyDescent="0.25">
      <c r="A36" s="429" t="s">
        <v>35</v>
      </c>
      <c r="B36" s="362"/>
      <c r="C36" s="430"/>
      <c r="D36" s="363"/>
      <c r="E36" s="430"/>
      <c r="F36" s="525"/>
      <c r="G36" s="526"/>
      <c r="H36" s="11"/>
    </row>
    <row r="37" spans="1:8" ht="15" customHeight="1" x14ac:dyDescent="0.25">
      <c r="A37" s="403" t="s">
        <v>55</v>
      </c>
      <c r="B37" s="365"/>
      <c r="C37" s="404"/>
      <c r="D37" s="366"/>
      <c r="E37" s="406"/>
      <c r="F37" s="366"/>
      <c r="G37" s="405"/>
      <c r="H37" s="16"/>
    </row>
    <row r="38" spans="1:8" ht="15" customHeight="1" x14ac:dyDescent="0.25">
      <c r="A38" s="373" t="s">
        <v>56</v>
      </c>
      <c r="B38" s="352" t="s">
        <v>57</v>
      </c>
      <c r="C38" s="406">
        <v>8675</v>
      </c>
      <c r="D38" s="369">
        <v>1000</v>
      </c>
      <c r="E38" s="406">
        <f t="shared" ref="E38" si="3">F38-D38</f>
        <v>39000</v>
      </c>
      <c r="F38" s="369">
        <v>40000</v>
      </c>
      <c r="G38" s="408">
        <v>25000</v>
      </c>
      <c r="H38" s="16"/>
    </row>
    <row r="39" spans="1:8" ht="15" customHeight="1" x14ac:dyDescent="0.25">
      <c r="A39" s="403" t="s">
        <v>58</v>
      </c>
      <c r="B39" s="365"/>
      <c r="C39" s="404"/>
      <c r="D39" s="366"/>
      <c r="E39" s="406"/>
      <c r="F39" s="366"/>
      <c r="G39" s="405"/>
      <c r="H39" s="16"/>
    </row>
    <row r="40" spans="1:8" ht="15" customHeight="1" x14ac:dyDescent="0.25">
      <c r="A40" s="373" t="s">
        <v>61</v>
      </c>
      <c r="B40" s="352" t="s">
        <v>62</v>
      </c>
      <c r="C40" s="406">
        <v>29970</v>
      </c>
      <c r="D40" s="369">
        <v>6000</v>
      </c>
      <c r="E40" s="406">
        <f t="shared" ref="E40" si="4">F40-D40</f>
        <v>30000</v>
      </c>
      <c r="F40" s="369">
        <v>36000</v>
      </c>
      <c r="G40" s="408">
        <v>36000</v>
      </c>
      <c r="H40" s="16"/>
    </row>
    <row r="41" spans="1:8" ht="15" customHeight="1" x14ac:dyDescent="0.25">
      <c r="A41" s="472" t="s">
        <v>63</v>
      </c>
      <c r="B41" s="442" t="s">
        <v>64</v>
      </c>
      <c r="C41" s="443"/>
      <c r="D41" s="444">
        <v>8416.66</v>
      </c>
      <c r="E41" s="443">
        <f>F41-D41</f>
        <v>21583.34</v>
      </c>
      <c r="F41" s="444">
        <v>30000</v>
      </c>
      <c r="G41" s="444">
        <v>18000</v>
      </c>
      <c r="H41" s="16"/>
    </row>
    <row r="42" spans="1:8" ht="15" customHeight="1" x14ac:dyDescent="0.25">
      <c r="A42" s="403" t="s">
        <v>42</v>
      </c>
      <c r="B42" s="365"/>
      <c r="C42" s="404"/>
      <c r="D42" s="366"/>
      <c r="E42" s="404"/>
      <c r="F42" s="366"/>
      <c r="G42" s="405"/>
      <c r="H42" s="16"/>
    </row>
    <row r="43" spans="1:8" ht="15" customHeight="1" x14ac:dyDescent="0.25">
      <c r="A43" s="373" t="s">
        <v>42</v>
      </c>
      <c r="B43" s="433" t="s">
        <v>176</v>
      </c>
      <c r="C43" s="406"/>
      <c r="D43" s="369"/>
      <c r="E43" s="406"/>
      <c r="F43" s="369">
        <v>50000</v>
      </c>
      <c r="G43" s="369">
        <v>20000</v>
      </c>
      <c r="H43" s="16"/>
    </row>
    <row r="44" spans="1:8" ht="30" customHeight="1" x14ac:dyDescent="0.25">
      <c r="A44" s="396" t="s">
        <v>86</v>
      </c>
      <c r="B44" s="397"/>
      <c r="C44" s="398">
        <f>SUM(C38:C43)</f>
        <v>38645</v>
      </c>
      <c r="D44" s="398">
        <f>SUM(D38:D43)</f>
        <v>15416.66</v>
      </c>
      <c r="E44" s="398">
        <f>SUM(E38:E43)</f>
        <v>90583.34</v>
      </c>
      <c r="F44" s="398">
        <f>SUM(F38:F43)</f>
        <v>156000</v>
      </c>
      <c r="G44" s="398">
        <f>SUM(G38:G43)</f>
        <v>99000</v>
      </c>
      <c r="H44" s="791">
        <v>90000</v>
      </c>
    </row>
    <row r="45" spans="1:8" ht="15" customHeight="1" x14ac:dyDescent="0.25">
      <c r="A45" s="429" t="s">
        <v>88</v>
      </c>
      <c r="B45" s="362"/>
      <c r="C45" s="430"/>
      <c r="D45" s="363"/>
      <c r="E45" s="430"/>
      <c r="F45" s="363"/>
      <c r="G45" s="431">
        <v>0</v>
      </c>
      <c r="H45" s="16"/>
    </row>
    <row r="46" spans="1:8" ht="15" customHeight="1" x14ac:dyDescent="0.25">
      <c r="A46" s="396" t="s">
        <v>112</v>
      </c>
      <c r="B46" s="436"/>
      <c r="C46" s="398">
        <v>0</v>
      </c>
      <c r="D46" s="398">
        <v>0</v>
      </c>
      <c r="E46" s="398">
        <v>0</v>
      </c>
      <c r="F46" s="398">
        <v>0</v>
      </c>
      <c r="G46" s="398">
        <f>SUM(G45)</f>
        <v>0</v>
      </c>
      <c r="H46" s="16"/>
    </row>
    <row r="47" spans="1:8" ht="15" customHeight="1" x14ac:dyDescent="0.25">
      <c r="A47" s="419" t="s">
        <v>113</v>
      </c>
      <c r="B47" s="547"/>
      <c r="C47" s="421">
        <f>+C46+C44+C35</f>
        <v>3785619.72</v>
      </c>
      <c r="D47" s="421">
        <f>+D46+D44+D35</f>
        <v>1788815.0799999998</v>
      </c>
      <c r="E47" s="421">
        <f>+E46+E44+E35</f>
        <v>2965792.44</v>
      </c>
      <c r="F47" s="421">
        <f>+F46+F44+F35</f>
        <v>4809607.5200000005</v>
      </c>
      <c r="G47" s="421">
        <f>SUM(G35,G44,G46)</f>
        <v>5067702.352</v>
      </c>
      <c r="H47" s="16"/>
    </row>
    <row r="48" spans="1:8" x14ac:dyDescent="0.25">
      <c r="A48" s="16"/>
      <c r="B48" s="16"/>
      <c r="C48" s="16"/>
      <c r="D48" s="16"/>
      <c r="E48" s="16"/>
      <c r="F48" s="558"/>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ht="38.25" customHeight="1"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353"/>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53" fitToHeight="0" orientation="portrait" horizontalDpi="360" verticalDpi="360" r:id="rId1"/>
  <headerFooter scaleWithDoc="0">
    <oddFooter>&amp;C&amp;"Candara,Regular"&amp;10Page &amp;"Candara,Bold"&amp;P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pageSetUpPr fitToPage="1"/>
  </sheetPr>
  <dimension ref="A1:I94"/>
  <sheetViews>
    <sheetView view="pageBreakPreview" topLeftCell="A4" zoomScale="145" zoomScaleNormal="130" zoomScaleSheetLayoutView="145" workbookViewId="0">
      <pane xSplit="2" ySplit="5" topLeftCell="C60"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6" width="14.7109375" style="41" customWidth="1"/>
    <col min="7" max="7" width="15.5703125" style="41" bestFit="1" customWidth="1"/>
    <col min="8" max="8" width="16" style="41" customWidth="1"/>
    <col min="9" max="9" width="17.1406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163</v>
      </c>
      <c r="B4" s="1075"/>
      <c r="C4" s="1075"/>
      <c r="D4" s="1075"/>
      <c r="E4" s="1075"/>
      <c r="F4" s="1075"/>
      <c r="G4" s="1075"/>
    </row>
    <row r="6" spans="1:9" s="43" customFormat="1" ht="12" x14ac:dyDescent="0.2">
      <c r="A6" s="1107" t="s">
        <v>1</v>
      </c>
      <c r="B6" s="1083" t="s">
        <v>2</v>
      </c>
      <c r="C6" s="1110" t="s">
        <v>310</v>
      </c>
      <c r="D6" s="1090" t="s">
        <v>307</v>
      </c>
      <c r="E6" s="1090"/>
      <c r="F6" s="1090"/>
      <c r="G6" s="1114" t="s">
        <v>311</v>
      </c>
      <c r="H6" s="358"/>
      <c r="I6" s="1046"/>
    </row>
    <row r="7" spans="1:9" s="43" customFormat="1" ht="12" x14ac:dyDescent="0.2">
      <c r="A7" s="1108"/>
      <c r="B7" s="1084"/>
      <c r="C7" s="1111"/>
      <c r="D7" s="1113"/>
      <c r="E7" s="1113"/>
      <c r="F7" s="1113"/>
      <c r="G7" s="1115"/>
      <c r="H7" s="358"/>
      <c r="I7" s="1046"/>
    </row>
    <row r="8" spans="1:9" s="43" customFormat="1" ht="24" x14ac:dyDescent="0.2">
      <c r="A8" s="1109"/>
      <c r="B8" s="1085"/>
      <c r="C8" s="1112"/>
      <c r="D8" s="548" t="s">
        <v>308</v>
      </c>
      <c r="E8" s="549" t="s">
        <v>309</v>
      </c>
      <c r="F8" s="548" t="s">
        <v>3</v>
      </c>
      <c r="G8" s="1116"/>
      <c r="H8" s="358"/>
      <c r="I8" s="1046"/>
    </row>
    <row r="9" spans="1:9" s="70" customFormat="1" ht="11.25" x14ac:dyDescent="0.25">
      <c r="A9" s="550">
        <v>1</v>
      </c>
      <c r="B9" s="360">
        <v>2</v>
      </c>
      <c r="C9" s="551"/>
      <c r="D9" s="360">
        <v>4</v>
      </c>
      <c r="E9" s="551">
        <v>5</v>
      </c>
      <c r="F9" s="360">
        <v>6</v>
      </c>
      <c r="G9" s="552">
        <v>7</v>
      </c>
      <c r="H9" s="423" t="s">
        <v>497</v>
      </c>
      <c r="I9" s="1047"/>
    </row>
    <row r="10" spans="1:9" ht="15" customHeight="1" x14ac:dyDescent="0.25">
      <c r="A10" s="429" t="s">
        <v>4</v>
      </c>
      <c r="B10" s="362"/>
      <c r="C10" s="430"/>
      <c r="D10" s="363"/>
      <c r="E10" s="430"/>
      <c r="F10" s="363"/>
      <c r="G10" s="431"/>
      <c r="H10" s="18">
        <v>44</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(44)</v>
      </c>
      <c r="B12" s="352" t="s">
        <v>6</v>
      </c>
      <c r="C12" s="406">
        <v>11625177.189999999</v>
      </c>
      <c r="D12" s="369">
        <v>5614233.2599999998</v>
      </c>
      <c r="E12" s="406">
        <f>F12-D12</f>
        <v>8868912.340000011</v>
      </c>
      <c r="F12" s="369">
        <v>14483145.600000011</v>
      </c>
      <c r="G12" s="408">
        <f>H12+I12</f>
        <v>15280386.000000004</v>
      </c>
      <c r="H12" s="438">
        <v>14752386.000000004</v>
      </c>
      <c r="I12" s="49">
        <f>I14/2</f>
        <v>528000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970000</v>
      </c>
      <c r="D14" s="369">
        <v>468000</v>
      </c>
      <c r="E14" s="406">
        <f t="shared" ref="E14:E25" si="0">F14-D14</f>
        <v>588000</v>
      </c>
      <c r="F14" s="369">
        <v>1056000</v>
      </c>
      <c r="G14" s="408">
        <f>param_pera*ENGINEER_PLATILLA_ITEMS*12</f>
        <v>1056000</v>
      </c>
      <c r="H14" s="402"/>
      <c r="I14" s="49">
        <v>1056000</v>
      </c>
    </row>
    <row r="15" spans="1:9" ht="15" customHeight="1" x14ac:dyDescent="0.25">
      <c r="A15" s="373" t="s">
        <v>11</v>
      </c>
      <c r="B15" s="352" t="s">
        <v>12</v>
      </c>
      <c r="C15" s="406">
        <v>202500</v>
      </c>
      <c r="D15" s="369">
        <v>108000</v>
      </c>
      <c r="E15" s="406">
        <f t="shared" si="0"/>
        <v>27000</v>
      </c>
      <c r="F15" s="369">
        <v>135000</v>
      </c>
      <c r="G15" s="408">
        <f>H15*12</f>
        <v>216000</v>
      </c>
      <c r="H15" s="402">
        <f>11250+6750</f>
        <v>18000</v>
      </c>
    </row>
    <row r="16" spans="1:9" ht="15" customHeight="1" x14ac:dyDescent="0.25">
      <c r="A16" s="373" t="s">
        <v>13</v>
      </c>
      <c r="B16" s="352" t="s">
        <v>14</v>
      </c>
      <c r="C16" s="406">
        <v>202500</v>
      </c>
      <c r="D16" s="369">
        <v>108000</v>
      </c>
      <c r="E16" s="406">
        <f t="shared" si="0"/>
        <v>27000</v>
      </c>
      <c r="F16" s="369">
        <v>135000</v>
      </c>
      <c r="G16" s="408">
        <f>H16*12</f>
        <v>216000</v>
      </c>
      <c r="H16" s="402">
        <f>11250+6750</f>
        <v>18000</v>
      </c>
    </row>
    <row r="17" spans="1:9" ht="15" customHeight="1" x14ac:dyDescent="0.25">
      <c r="A17" s="373" t="s">
        <v>15</v>
      </c>
      <c r="B17" s="352" t="s">
        <v>16</v>
      </c>
      <c r="C17" s="406">
        <v>246000</v>
      </c>
      <c r="D17" s="369">
        <v>240000</v>
      </c>
      <c r="E17" s="406">
        <f t="shared" si="0"/>
        <v>24000</v>
      </c>
      <c r="F17" s="369">
        <v>264000</v>
      </c>
      <c r="G17" s="408">
        <f>param_uniform*ENGINEER_PLATILLA_ITEMS</f>
        <v>264000</v>
      </c>
      <c r="H17" s="402"/>
    </row>
    <row r="18" spans="1:9" ht="15" customHeight="1" x14ac:dyDescent="0.25">
      <c r="A18" s="373" t="s">
        <v>570</v>
      </c>
      <c r="B18" s="352" t="s">
        <v>175</v>
      </c>
      <c r="C18" s="406"/>
      <c r="D18" s="369"/>
      <c r="E18" s="406">
        <f t="shared" si="0"/>
        <v>20000</v>
      </c>
      <c r="F18" s="369">
        <v>20000</v>
      </c>
      <c r="G18" s="408">
        <v>20000</v>
      </c>
      <c r="H18" s="402"/>
    </row>
    <row r="19" spans="1:9" ht="15" customHeight="1" x14ac:dyDescent="0.25">
      <c r="A19" s="373" t="s">
        <v>17</v>
      </c>
      <c r="B19" s="352" t="s">
        <v>18</v>
      </c>
      <c r="C19" s="406">
        <v>989869.6</v>
      </c>
      <c r="D19" s="369"/>
      <c r="E19" s="406">
        <f t="shared" si="0"/>
        <v>1206928.800000001</v>
      </c>
      <c r="F19" s="369">
        <v>1206928.800000001</v>
      </c>
      <c r="G19" s="408">
        <f>H12/12+I19</f>
        <v>1493365.5000000002</v>
      </c>
      <c r="H19" s="402"/>
      <c r="I19" s="49">
        <f>I14/4</f>
        <v>264000</v>
      </c>
    </row>
    <row r="20" spans="1:9" ht="15" customHeight="1" x14ac:dyDescent="0.25">
      <c r="A20" s="373" t="s">
        <v>19</v>
      </c>
      <c r="B20" s="352" t="s">
        <v>20</v>
      </c>
      <c r="C20" s="406">
        <v>203000</v>
      </c>
      <c r="D20" s="369"/>
      <c r="E20" s="406">
        <f t="shared" si="0"/>
        <v>220000</v>
      </c>
      <c r="F20" s="369">
        <v>220000</v>
      </c>
      <c r="G20" s="408">
        <f>param_cash_gift*ENGINEER_PLATILLA_ITEMS</f>
        <v>220000</v>
      </c>
      <c r="H20" s="402"/>
      <c r="I20" s="49" t="s">
        <v>610</v>
      </c>
    </row>
    <row r="21" spans="1:9" ht="15" customHeight="1" x14ac:dyDescent="0.25">
      <c r="A21" s="403" t="s">
        <v>21</v>
      </c>
      <c r="B21" s="365"/>
      <c r="C21" s="404"/>
      <c r="D21" s="366"/>
      <c r="E21" s="406"/>
      <c r="F21" s="366"/>
      <c r="G21" s="405"/>
      <c r="H21" s="402"/>
    </row>
    <row r="22" spans="1:9" ht="15" customHeight="1" x14ac:dyDescent="0.25">
      <c r="A22" s="373" t="s">
        <v>22</v>
      </c>
      <c r="B22" s="352" t="s">
        <v>23</v>
      </c>
      <c r="C22" s="406">
        <v>1407044.78</v>
      </c>
      <c r="D22" s="369">
        <v>658954.78</v>
      </c>
      <c r="E22" s="406">
        <f t="shared" si="0"/>
        <v>1079022.6920000012</v>
      </c>
      <c r="F22" s="369">
        <v>1737977.4720000012</v>
      </c>
      <c r="G22" s="408">
        <f>H12*12%</f>
        <v>1770286.3200000003</v>
      </c>
      <c r="H22" s="402"/>
    </row>
    <row r="23" spans="1:9" ht="15" customHeight="1" x14ac:dyDescent="0.25">
      <c r="A23" s="373" t="s">
        <v>24</v>
      </c>
      <c r="B23" s="352" t="s">
        <v>25</v>
      </c>
      <c r="C23" s="406">
        <v>48500</v>
      </c>
      <c r="D23" s="369">
        <v>21900</v>
      </c>
      <c r="E23" s="406">
        <f t="shared" si="0"/>
        <v>57300</v>
      </c>
      <c r="F23" s="369">
        <v>79200</v>
      </c>
      <c r="G23" s="408">
        <f>param_pagibig*ENGINEER_PLATILLA_ITEMS*12</f>
        <v>79200</v>
      </c>
      <c r="H23" s="402"/>
    </row>
    <row r="24" spans="1:9" ht="15" customHeight="1" x14ac:dyDescent="0.25">
      <c r="A24" s="373" t="s">
        <v>26</v>
      </c>
      <c r="B24" s="352" t="s">
        <v>27</v>
      </c>
      <c r="C24" s="406">
        <v>162970.53</v>
      </c>
      <c r="D24" s="369">
        <v>101218.76</v>
      </c>
      <c r="E24" s="406">
        <f t="shared" si="0"/>
        <v>226781.24</v>
      </c>
      <c r="F24" s="369">
        <v>328000</v>
      </c>
      <c r="G24" s="408">
        <f>ROUND(H24+(H24*0.1), -1)</f>
        <v>319330</v>
      </c>
      <c r="H24" s="402">
        <v>290300.54400000011</v>
      </c>
    </row>
    <row r="25" spans="1:9" ht="15" customHeight="1" x14ac:dyDescent="0.25">
      <c r="A25" s="373" t="s">
        <v>28</v>
      </c>
      <c r="B25" s="352" t="s">
        <v>29</v>
      </c>
      <c r="C25" s="406">
        <v>48500</v>
      </c>
      <c r="D25" s="369">
        <v>21900</v>
      </c>
      <c r="E25" s="406">
        <f t="shared" si="0"/>
        <v>57300</v>
      </c>
      <c r="F25" s="369">
        <v>79200</v>
      </c>
      <c r="G25" s="408">
        <f>param_ecc*ENGINEER_PLATILLA_ITEMS*12</f>
        <v>79200</v>
      </c>
      <c r="H25" s="402"/>
    </row>
    <row r="26" spans="1:9" ht="15" customHeight="1" x14ac:dyDescent="0.25">
      <c r="A26" s="403" t="s">
        <v>30</v>
      </c>
      <c r="B26" s="365"/>
      <c r="C26" s="404"/>
      <c r="D26" s="366"/>
      <c r="E26" s="406"/>
      <c r="F26" s="366"/>
      <c r="G26" s="405"/>
      <c r="H26" s="402"/>
    </row>
    <row r="27" spans="1:9" ht="15" customHeight="1" x14ac:dyDescent="0.25">
      <c r="A27" s="373" t="s">
        <v>30</v>
      </c>
      <c r="B27" s="352" t="s">
        <v>33</v>
      </c>
      <c r="C27" s="406"/>
      <c r="D27" s="369"/>
      <c r="E27" s="369"/>
      <c r="F27" s="369"/>
      <c r="G27" s="408"/>
      <c r="H27" s="519">
        <f>SUM(G27:G34)</f>
        <v>1983365.5000000002</v>
      </c>
    </row>
    <row r="28" spans="1:9" ht="15" customHeight="1" x14ac:dyDescent="0.25">
      <c r="A28" s="434" t="s">
        <v>332</v>
      </c>
      <c r="B28" s="352"/>
      <c r="C28" s="406">
        <v>1015096</v>
      </c>
      <c r="D28" s="369">
        <v>976081</v>
      </c>
      <c r="E28" s="406">
        <f t="shared" ref="E28:E31" si="1">F28-D28</f>
        <v>230847.80000000098</v>
      </c>
      <c r="F28" s="369">
        <v>1206928.800000001</v>
      </c>
      <c r="G28" s="408">
        <f>H12/12+I28</f>
        <v>1493365.5000000002</v>
      </c>
      <c r="H28" s="402"/>
      <c r="I28" s="49">
        <f>I14/4</f>
        <v>264000</v>
      </c>
    </row>
    <row r="29" spans="1:9" ht="15" customHeight="1" x14ac:dyDescent="0.25">
      <c r="A29" s="434" t="s">
        <v>333</v>
      </c>
      <c r="B29" s="352"/>
      <c r="C29" s="406">
        <v>200000</v>
      </c>
      <c r="D29" s="369"/>
      <c r="E29" s="406">
        <f t="shared" si="1"/>
        <v>220000</v>
      </c>
      <c r="F29" s="369">
        <v>220000</v>
      </c>
      <c r="G29" s="408">
        <f>param_pei*ENGINEER_PLATILLA_ITEMS</f>
        <v>220000</v>
      </c>
      <c r="H29" s="402"/>
    </row>
    <row r="30" spans="1:9" ht="30" customHeight="1" x14ac:dyDescent="0.25">
      <c r="A30" s="434" t="s">
        <v>649</v>
      </c>
      <c r="B30" s="352"/>
      <c r="C30" s="406"/>
      <c r="D30" s="369"/>
      <c r="E30" s="406">
        <f t="shared" si="1"/>
        <v>220000</v>
      </c>
      <c r="F30" s="369">
        <v>220000</v>
      </c>
      <c r="G30" s="408">
        <f>param_pbb*ENGINEER_PLATILLA_ITEMS</f>
        <v>220000</v>
      </c>
      <c r="H30" s="402"/>
    </row>
    <row r="31" spans="1:9" ht="15" customHeight="1" x14ac:dyDescent="0.25">
      <c r="A31" s="434" t="s">
        <v>334</v>
      </c>
      <c r="B31" s="352"/>
      <c r="C31" s="406">
        <v>15000</v>
      </c>
      <c r="D31" s="369"/>
      <c r="E31" s="406">
        <f t="shared" si="1"/>
        <v>50000</v>
      </c>
      <c r="F31" s="369">
        <v>50000</v>
      </c>
      <c r="G31" s="387">
        <v>50000</v>
      </c>
      <c r="H31" s="446"/>
    </row>
    <row r="32" spans="1:9" ht="15" customHeight="1" x14ac:dyDescent="0.25">
      <c r="A32" s="513" t="s">
        <v>650</v>
      </c>
      <c r="B32" s="479"/>
      <c r="C32" s="381">
        <v>1000000</v>
      </c>
      <c r="D32" s="381"/>
      <c r="E32" s="381"/>
      <c r="F32" s="381"/>
      <c r="G32" s="369"/>
      <c r="H32" s="375"/>
    </row>
    <row r="33" spans="1:8" ht="15" customHeight="1" x14ac:dyDescent="0.25">
      <c r="A33" s="376" t="s">
        <v>652</v>
      </c>
      <c r="B33" s="352"/>
      <c r="C33" s="369"/>
      <c r="D33" s="369"/>
      <c r="E33" s="369"/>
      <c r="F33" s="369"/>
      <c r="G33" s="369"/>
      <c r="H33" s="375"/>
    </row>
    <row r="34" spans="1:8" ht="15" customHeight="1" x14ac:dyDescent="0.25">
      <c r="A34" s="378" t="s">
        <v>653</v>
      </c>
      <c r="B34" s="379"/>
      <c r="C34" s="380">
        <v>400000</v>
      </c>
      <c r="D34" s="380"/>
      <c r="E34" s="381"/>
      <c r="F34" s="380"/>
      <c r="G34" s="380"/>
      <c r="H34" s="375"/>
    </row>
    <row r="35" spans="1:8" ht="15" customHeight="1" x14ac:dyDescent="0.25">
      <c r="A35" s="553" t="s">
        <v>34</v>
      </c>
      <c r="B35" s="554"/>
      <c r="C35" s="555">
        <f>SUM(C11:C34)</f>
        <v>18736158.099999998</v>
      </c>
      <c r="D35" s="555">
        <f t="shared" ref="D35:F35" si="2">SUM(D11:D34)</f>
        <v>8318287.7999999998</v>
      </c>
      <c r="E35" s="555">
        <f t="shared" si="2"/>
        <v>13123092.872000014</v>
      </c>
      <c r="F35" s="555">
        <f t="shared" si="2"/>
        <v>21441380.672000017</v>
      </c>
      <c r="G35" s="555">
        <f>SUM(G11:G34)</f>
        <v>22997133.320000004</v>
      </c>
      <c r="H35" s="16"/>
    </row>
    <row r="36" spans="1:8" ht="15" customHeight="1" x14ac:dyDescent="0.25">
      <c r="A36" s="429" t="s">
        <v>35</v>
      </c>
      <c r="B36" s="362"/>
      <c r="C36" s="430"/>
      <c r="D36" s="363"/>
      <c r="E36" s="430"/>
      <c r="F36" s="363"/>
      <c r="G36" s="431"/>
      <c r="H36" s="16"/>
    </row>
    <row r="37" spans="1:8" ht="15" customHeight="1" x14ac:dyDescent="0.25">
      <c r="A37" s="403" t="s">
        <v>55</v>
      </c>
      <c r="B37" s="365"/>
      <c r="C37" s="404"/>
      <c r="D37" s="366"/>
      <c r="E37" s="406"/>
      <c r="F37" s="366"/>
      <c r="G37" s="405"/>
      <c r="H37" s="16"/>
    </row>
    <row r="38" spans="1:8" ht="15" customHeight="1" x14ac:dyDescent="0.25">
      <c r="A38" s="373" t="s">
        <v>56</v>
      </c>
      <c r="B38" s="352" t="s">
        <v>57</v>
      </c>
      <c r="C38" s="406"/>
      <c r="D38" s="369"/>
      <c r="E38" s="406">
        <f t="shared" ref="E38" si="3">F38-D38</f>
        <v>30000</v>
      </c>
      <c r="F38" s="369">
        <v>30000</v>
      </c>
      <c r="G38" s="369">
        <v>20000</v>
      </c>
      <c r="H38" s="16"/>
    </row>
    <row r="39" spans="1:8" ht="15" customHeight="1" x14ac:dyDescent="0.25">
      <c r="A39" s="403" t="s">
        <v>58</v>
      </c>
      <c r="B39" s="365"/>
      <c r="C39" s="404"/>
      <c r="D39" s="366"/>
      <c r="E39" s="406"/>
      <c r="F39" s="366"/>
      <c r="G39" s="366"/>
      <c r="H39" s="16"/>
    </row>
    <row r="40" spans="1:8" ht="15" customHeight="1" x14ac:dyDescent="0.25">
      <c r="A40" s="373" t="s">
        <v>61</v>
      </c>
      <c r="B40" s="352" t="s">
        <v>62</v>
      </c>
      <c r="C40" s="406">
        <v>22000</v>
      </c>
      <c r="D40" s="369">
        <v>12000</v>
      </c>
      <c r="E40" s="406">
        <f t="shared" ref="E40:E41" si="4">F40-D40</f>
        <v>24000</v>
      </c>
      <c r="F40" s="369">
        <v>36000</v>
      </c>
      <c r="G40" s="369">
        <v>36000</v>
      </c>
      <c r="H40" s="16"/>
    </row>
    <row r="41" spans="1:8" ht="15" customHeight="1" x14ac:dyDescent="0.25">
      <c r="A41" s="373" t="s">
        <v>63</v>
      </c>
      <c r="B41" s="352" t="s">
        <v>64</v>
      </c>
      <c r="C41" s="406">
        <v>22413.34</v>
      </c>
      <c r="D41" s="369">
        <v>11182.42</v>
      </c>
      <c r="E41" s="406">
        <f t="shared" si="4"/>
        <v>24817.58</v>
      </c>
      <c r="F41" s="369">
        <v>36000</v>
      </c>
      <c r="G41" s="369">
        <v>30000</v>
      </c>
      <c r="H41" s="16"/>
    </row>
    <row r="42" spans="1:8" ht="15" customHeight="1" x14ac:dyDescent="0.25">
      <c r="A42" s="403" t="s">
        <v>79</v>
      </c>
      <c r="B42" s="365"/>
      <c r="C42" s="404"/>
      <c r="D42" s="366"/>
      <c r="E42" s="406"/>
      <c r="F42" s="366"/>
      <c r="G42" s="405"/>
      <c r="H42" s="16"/>
    </row>
    <row r="43" spans="1:8" ht="15" customHeight="1" x14ac:dyDescent="0.25">
      <c r="A43" s="373" t="s">
        <v>80</v>
      </c>
      <c r="B43" s="352" t="s">
        <v>81</v>
      </c>
      <c r="C43" s="406">
        <v>3202000</v>
      </c>
      <c r="D43" s="369">
        <v>1400100</v>
      </c>
      <c r="E43" s="406">
        <f t="shared" ref="E43" si="5">F43-D43</f>
        <v>2119900</v>
      </c>
      <c r="F43" s="369">
        <v>3520000</v>
      </c>
      <c r="G43" s="408">
        <v>3700800</v>
      </c>
      <c r="H43" s="523">
        <v>3520000</v>
      </c>
    </row>
    <row r="44" spans="1:8" ht="15" customHeight="1" x14ac:dyDescent="0.25">
      <c r="A44" s="403" t="s">
        <v>82</v>
      </c>
      <c r="B44" s="365"/>
      <c r="C44" s="404"/>
      <c r="D44" s="366"/>
      <c r="E44" s="406"/>
      <c r="F44" s="366"/>
      <c r="G44" s="405"/>
      <c r="H44" s="16"/>
    </row>
    <row r="45" spans="1:8" ht="30" customHeight="1" x14ac:dyDescent="0.25">
      <c r="A45" s="373" t="s">
        <v>135</v>
      </c>
      <c r="B45" s="352" t="s">
        <v>134</v>
      </c>
      <c r="C45" s="406"/>
      <c r="D45" s="369"/>
      <c r="E45" s="406">
        <f t="shared" ref="E45:E47" si="6">F45-D45</f>
        <v>500000</v>
      </c>
      <c r="F45" s="369">
        <v>500000</v>
      </c>
      <c r="G45" s="369">
        <v>1000000</v>
      </c>
      <c r="H45" s="16"/>
    </row>
    <row r="46" spans="1:8" ht="30" customHeight="1" x14ac:dyDescent="0.25">
      <c r="A46" s="373" t="s">
        <v>811</v>
      </c>
      <c r="B46" s="352" t="s">
        <v>810</v>
      </c>
      <c r="C46" s="406"/>
      <c r="D46" s="369"/>
      <c r="E46" s="406">
        <f t="shared" ref="E46" si="7">F46-D46</f>
        <v>1000000</v>
      </c>
      <c r="F46" s="369">
        <v>1000000</v>
      </c>
      <c r="G46" s="369">
        <v>1000000</v>
      </c>
    </row>
    <row r="47" spans="1:8" ht="30" customHeight="1" x14ac:dyDescent="0.25">
      <c r="A47" s="373" t="s">
        <v>809</v>
      </c>
      <c r="B47" s="352" t="s">
        <v>808</v>
      </c>
      <c r="C47" s="406"/>
      <c r="D47" s="369">
        <v>1198728.3899999999</v>
      </c>
      <c r="E47" s="406">
        <f t="shared" si="6"/>
        <v>4562715.0817996124</v>
      </c>
      <c r="F47" s="369">
        <v>5761443.471799612</v>
      </c>
      <c r="G47" s="369">
        <v>6000000</v>
      </c>
    </row>
    <row r="48" spans="1:8" ht="30" customHeight="1" x14ac:dyDescent="0.25">
      <c r="A48" s="373" t="s">
        <v>157</v>
      </c>
      <c r="B48" s="352" t="s">
        <v>156</v>
      </c>
      <c r="C48" s="406">
        <v>1784504.9</v>
      </c>
      <c r="D48" s="369">
        <v>2161835.04</v>
      </c>
      <c r="E48" s="406">
        <f t="shared" ref="E48:E52" si="8">F48-D48</f>
        <v>3771064.96</v>
      </c>
      <c r="F48" s="369">
        <v>5932900</v>
      </c>
      <c r="G48" s="369">
        <v>6000000</v>
      </c>
    </row>
    <row r="49" spans="1:9" ht="30" customHeight="1" x14ac:dyDescent="0.25">
      <c r="A49" s="373" t="s">
        <v>120</v>
      </c>
      <c r="B49" s="352" t="s">
        <v>119</v>
      </c>
      <c r="C49" s="406">
        <v>21526</v>
      </c>
      <c r="D49" s="369"/>
      <c r="E49" s="406">
        <f t="shared" si="8"/>
        <v>2000000</v>
      </c>
      <c r="F49" s="369">
        <v>2000000</v>
      </c>
      <c r="G49" s="369">
        <v>2000000</v>
      </c>
    </row>
    <row r="50" spans="1:9" ht="30" customHeight="1" x14ac:dyDescent="0.25">
      <c r="A50" s="373" t="s">
        <v>118</v>
      </c>
      <c r="B50" s="352" t="s">
        <v>117</v>
      </c>
      <c r="C50" s="406">
        <v>478199</v>
      </c>
      <c r="D50" s="369">
        <v>21380</v>
      </c>
      <c r="E50" s="406">
        <f t="shared" si="8"/>
        <v>1978620</v>
      </c>
      <c r="F50" s="369">
        <v>2000000</v>
      </c>
      <c r="G50" s="369">
        <v>2000000</v>
      </c>
    </row>
    <row r="51" spans="1:9" ht="30" customHeight="1" x14ac:dyDescent="0.25">
      <c r="A51" s="373" t="s">
        <v>341</v>
      </c>
      <c r="B51" s="352" t="s">
        <v>132</v>
      </c>
      <c r="C51" s="406"/>
      <c r="D51" s="369"/>
      <c r="E51" s="406">
        <f t="shared" si="8"/>
        <v>500000</v>
      </c>
      <c r="F51" s="369">
        <v>500000</v>
      </c>
      <c r="G51" s="369">
        <v>1000000</v>
      </c>
    </row>
    <row r="52" spans="1:9" ht="30" customHeight="1" x14ac:dyDescent="0.25">
      <c r="A52" s="368" t="s">
        <v>116</v>
      </c>
      <c r="B52" s="352" t="s">
        <v>115</v>
      </c>
      <c r="C52" s="406"/>
      <c r="D52" s="369">
        <v>26544</v>
      </c>
      <c r="E52" s="406">
        <f t="shared" si="8"/>
        <v>473456</v>
      </c>
      <c r="F52" s="369">
        <v>500000</v>
      </c>
      <c r="G52" s="369">
        <v>1000000</v>
      </c>
    </row>
    <row r="53" spans="1:9" ht="15" customHeight="1" x14ac:dyDescent="0.25">
      <c r="A53" s="704" t="s">
        <v>42</v>
      </c>
      <c r="B53" s="704"/>
      <c r="C53" s="705"/>
      <c r="D53" s="594"/>
      <c r="E53" s="705"/>
      <c r="F53" s="594"/>
      <c r="G53" s="594"/>
    </row>
    <row r="54" spans="1:9" ht="15" customHeight="1" x14ac:dyDescent="0.25">
      <c r="A54" s="368" t="s">
        <v>42</v>
      </c>
      <c r="B54" s="352" t="s">
        <v>176</v>
      </c>
      <c r="C54" s="406"/>
      <c r="D54" s="369"/>
      <c r="E54" s="406">
        <f t="shared" ref="E54" si="9">F54-D54</f>
        <v>50000</v>
      </c>
      <c r="F54" s="369">
        <v>50000</v>
      </c>
      <c r="G54" s="369">
        <v>30000</v>
      </c>
    </row>
    <row r="55" spans="1:9" ht="30" customHeight="1" x14ac:dyDescent="0.25">
      <c r="A55" s="706" t="s">
        <v>86</v>
      </c>
      <c r="B55" s="554"/>
      <c r="C55" s="556">
        <f>SUM(C37:C54)</f>
        <v>5530643.2400000002</v>
      </c>
      <c r="D55" s="556">
        <f>SUM(D37:D54)</f>
        <v>4831769.8499999996</v>
      </c>
      <c r="E55" s="556">
        <f>SUM(E37:E54)</f>
        <v>17034573.621799611</v>
      </c>
      <c r="F55" s="556">
        <f>SUM(F37:F54)</f>
        <v>21866343.471799612</v>
      </c>
      <c r="G55" s="556">
        <f>SUM(G37:G54)</f>
        <v>23816800</v>
      </c>
      <c r="H55" s="790">
        <v>12010800</v>
      </c>
      <c r="I55" s="49">
        <f>H55-ENGINEER_MOOE</f>
        <v>-11806000</v>
      </c>
    </row>
    <row r="56" spans="1:9" ht="15" customHeight="1" x14ac:dyDescent="0.25">
      <c r="A56" s="362" t="s">
        <v>88</v>
      </c>
      <c r="B56" s="362"/>
      <c r="C56" s="430"/>
      <c r="D56" s="363"/>
      <c r="E56" s="430"/>
      <c r="F56" s="363"/>
      <c r="G56" s="431"/>
      <c r="H56" s="281"/>
    </row>
    <row r="57" spans="1:9" ht="15" customHeight="1" x14ac:dyDescent="0.25">
      <c r="A57" s="365" t="s">
        <v>89</v>
      </c>
      <c r="B57" s="365"/>
      <c r="C57" s="404"/>
      <c r="D57" s="366"/>
      <c r="E57" s="366"/>
      <c r="F57" s="366"/>
      <c r="G57" s="405"/>
    </row>
    <row r="58" spans="1:9" ht="15" customHeight="1" x14ac:dyDescent="0.25">
      <c r="A58" s="373" t="s">
        <v>958</v>
      </c>
      <c r="B58" s="352" t="s">
        <v>959</v>
      </c>
      <c r="C58" s="406"/>
      <c r="D58" s="369"/>
      <c r="E58" s="407"/>
      <c r="F58" s="369"/>
      <c r="G58" s="408">
        <v>1000000</v>
      </c>
      <c r="H58" s="41" t="s">
        <v>976</v>
      </c>
    </row>
    <row r="59" spans="1:9" ht="15" customHeight="1" x14ac:dyDescent="0.25">
      <c r="A59" s="373" t="s">
        <v>90</v>
      </c>
      <c r="B59" s="352" t="s">
        <v>91</v>
      </c>
      <c r="C59" s="406">
        <v>1124946.94</v>
      </c>
      <c r="D59" s="369">
        <v>2617891.8199999998</v>
      </c>
      <c r="E59" s="407">
        <f t="shared" ref="E59" si="10">F59-D59</f>
        <v>12382108.18</v>
      </c>
      <c r="F59" s="369">
        <v>15000000</v>
      </c>
      <c r="G59" s="408">
        <v>19000000</v>
      </c>
    </row>
    <row r="60" spans="1:9" ht="15" customHeight="1" x14ac:dyDescent="0.25">
      <c r="A60" s="434" t="s">
        <v>806</v>
      </c>
      <c r="B60" s="352"/>
      <c r="C60" s="406"/>
      <c r="D60" s="369">
        <v>5000000</v>
      </c>
      <c r="E60" s="407"/>
      <c r="F60" s="369">
        <v>5000000</v>
      </c>
      <c r="G60" s="408"/>
    </row>
    <row r="61" spans="1:9" ht="15" customHeight="1" x14ac:dyDescent="0.25">
      <c r="A61" s="553" t="s">
        <v>112</v>
      </c>
      <c r="B61" s="557"/>
      <c r="C61" s="555">
        <f t="shared" ref="C61:F61" si="11">SUM(C56:C60)</f>
        <v>1124946.94</v>
      </c>
      <c r="D61" s="555">
        <f t="shared" si="11"/>
        <v>7617891.8200000003</v>
      </c>
      <c r="E61" s="555">
        <f t="shared" si="11"/>
        <v>12382108.18</v>
      </c>
      <c r="F61" s="555">
        <f t="shared" si="11"/>
        <v>20000000</v>
      </c>
      <c r="G61" s="555">
        <f>SUM(G56:G60)</f>
        <v>20000000</v>
      </c>
      <c r="H61" s="789">
        <v>10000000</v>
      </c>
    </row>
    <row r="62" spans="1:9" ht="15" customHeight="1" x14ac:dyDescent="0.25">
      <c r="A62" s="541" t="s">
        <v>113</v>
      </c>
      <c r="B62" s="542"/>
      <c r="C62" s="543">
        <f>C35+C55+C61</f>
        <v>25391748.279999997</v>
      </c>
      <c r="D62" s="544">
        <f>D35+D55+D61</f>
        <v>20767949.469999999</v>
      </c>
      <c r="E62" s="543">
        <f>E35+E55+E61</f>
        <v>42539774.673799627</v>
      </c>
      <c r="F62" s="544">
        <f>F35+F55+F61</f>
        <v>63307724.143799633</v>
      </c>
      <c r="G62" s="545">
        <f>G35+G55+G61</f>
        <v>66813933.320000008</v>
      </c>
    </row>
    <row r="63" spans="1:9" x14ac:dyDescent="0.25">
      <c r="A63" s="16"/>
      <c r="B63" s="16"/>
      <c r="C63" s="16"/>
      <c r="D63" s="16"/>
      <c r="E63" s="16"/>
      <c r="F63" s="558"/>
      <c r="G63" s="16"/>
    </row>
    <row r="64" spans="1:9" x14ac:dyDescent="0.25">
      <c r="A64" s="16"/>
      <c r="B64" s="16"/>
      <c r="C64" s="16"/>
      <c r="D64" s="16"/>
      <c r="E64" s="16"/>
      <c r="F64" s="16"/>
      <c r="G64" s="16"/>
    </row>
    <row r="65" spans="1:8" x14ac:dyDescent="0.25">
      <c r="A65" s="16"/>
      <c r="B65" s="16"/>
      <c r="C65" s="16"/>
      <c r="D65" s="16"/>
      <c r="E65" s="16"/>
      <c r="F65" s="16"/>
      <c r="G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ht="38.25" customHeight="1"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353"/>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48" fitToHeight="0" orientation="portrait" horizontalDpi="360" verticalDpi="360" r:id="rId1"/>
  <headerFooter scaleWithDoc="0">
    <oddFooter>&amp;C&amp;"Candara,Regular"&amp;10Page &amp;"Candara,Bold"&amp;P</oddFooter>
  </headerFooter>
  <rowBreaks count="1" manualBreakCount="1">
    <brk id="55" max="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92"/>
  <sheetViews>
    <sheetView view="pageBreakPreview" topLeftCell="A25" zoomScale="130" zoomScaleNormal="130" zoomScaleSheetLayoutView="130" workbookViewId="0">
      <pane xSplit="1" topLeftCell="B1" activePane="topRight" state="frozen"/>
      <selection activeCell="C40" sqref="C40"/>
      <selection pane="top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6.42578125" style="41" bestFit="1" customWidth="1"/>
    <col min="9" max="9" width="1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164</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4</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(4)</v>
      </c>
      <c r="B12" s="352" t="s">
        <v>6</v>
      </c>
      <c r="C12" s="406">
        <v>1278087.98</v>
      </c>
      <c r="D12" s="369">
        <v>660907</v>
      </c>
      <c r="E12" s="406">
        <f>F12-D12</f>
        <v>752443.40000000037</v>
      </c>
      <c r="F12" s="369">
        <v>1413350.4000000004</v>
      </c>
      <c r="G12" s="408">
        <f>H12+I12</f>
        <v>1503313.2000000002</v>
      </c>
      <c r="H12" s="438">
        <v>1455313.2000000002</v>
      </c>
      <c r="I12" s="49">
        <f>I14/2</f>
        <v>48000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88000</v>
      </c>
      <c r="D14" s="369">
        <v>48000</v>
      </c>
      <c r="E14" s="406">
        <f t="shared" ref="E14:E22" si="0">F14-D14</f>
        <v>48000</v>
      </c>
      <c r="F14" s="369">
        <v>96000</v>
      </c>
      <c r="G14" s="408">
        <f>param_pera*MARKET_PLATILLA_ITEMS*12</f>
        <v>96000</v>
      </c>
      <c r="H14" s="402"/>
      <c r="I14" s="49">
        <v>96000</v>
      </c>
    </row>
    <row r="15" spans="1:9" ht="15" customHeight="1" x14ac:dyDescent="0.25">
      <c r="A15" s="373" t="s">
        <v>15</v>
      </c>
      <c r="B15" s="352" t="s">
        <v>16</v>
      </c>
      <c r="C15" s="406">
        <v>24000</v>
      </c>
      <c r="D15" s="369">
        <v>24000</v>
      </c>
      <c r="E15" s="406">
        <f t="shared" si="0"/>
        <v>0</v>
      </c>
      <c r="F15" s="369">
        <v>24000</v>
      </c>
      <c r="G15" s="408">
        <f>param_uniform*MARKET_PLATILLA_ITEMS</f>
        <v>24000</v>
      </c>
      <c r="H15" s="402"/>
    </row>
    <row r="16" spans="1:9" ht="15" customHeight="1" x14ac:dyDescent="0.25">
      <c r="A16" s="373" t="s">
        <v>17</v>
      </c>
      <c r="B16" s="352" t="s">
        <v>18</v>
      </c>
      <c r="C16" s="406">
        <v>106716</v>
      </c>
      <c r="D16" s="369"/>
      <c r="E16" s="406">
        <f t="shared" si="0"/>
        <v>117779.20000000003</v>
      </c>
      <c r="F16" s="369">
        <v>117779.20000000003</v>
      </c>
      <c r="G16" s="408">
        <f>H12/12+I16</f>
        <v>145276.10000000003</v>
      </c>
      <c r="H16" s="402"/>
      <c r="I16" s="49">
        <f>I14/4</f>
        <v>24000</v>
      </c>
    </row>
    <row r="17" spans="1:9" ht="15" customHeight="1" x14ac:dyDescent="0.25">
      <c r="A17" s="373" t="s">
        <v>19</v>
      </c>
      <c r="B17" s="352" t="s">
        <v>20</v>
      </c>
      <c r="C17" s="406">
        <v>20000</v>
      </c>
      <c r="D17" s="369"/>
      <c r="E17" s="406">
        <f t="shared" si="0"/>
        <v>20000</v>
      </c>
      <c r="F17" s="369">
        <v>20000</v>
      </c>
      <c r="G17" s="408">
        <f>param_cash_gift*MARKET_PLATILLA_ITEMS</f>
        <v>20000</v>
      </c>
      <c r="H17" s="402"/>
    </row>
    <row r="18" spans="1:9" ht="15" customHeight="1" x14ac:dyDescent="0.25">
      <c r="A18" s="403" t="s">
        <v>21</v>
      </c>
      <c r="B18" s="365"/>
      <c r="C18" s="404"/>
      <c r="D18" s="366"/>
      <c r="E18" s="404"/>
      <c r="F18" s="366"/>
      <c r="G18" s="405"/>
      <c r="H18" s="402"/>
    </row>
    <row r="19" spans="1:9" ht="15" customHeight="1" x14ac:dyDescent="0.25">
      <c r="A19" s="373" t="s">
        <v>22</v>
      </c>
      <c r="B19" s="352" t="s">
        <v>23</v>
      </c>
      <c r="C19" s="406">
        <v>153370.54999999999</v>
      </c>
      <c r="D19" s="369">
        <v>79308.84</v>
      </c>
      <c r="E19" s="406">
        <f t="shared" si="0"/>
        <v>90293.208000000042</v>
      </c>
      <c r="F19" s="369">
        <v>169602.04800000004</v>
      </c>
      <c r="G19" s="408">
        <f>H12*12%</f>
        <v>174637.584</v>
      </c>
      <c r="H19" s="402"/>
    </row>
    <row r="20" spans="1:9" ht="15" customHeight="1" x14ac:dyDescent="0.25">
      <c r="A20" s="373" t="s">
        <v>24</v>
      </c>
      <c r="B20" s="352" t="s">
        <v>25</v>
      </c>
      <c r="C20" s="406">
        <v>4800</v>
      </c>
      <c r="D20" s="369">
        <v>2400</v>
      </c>
      <c r="E20" s="406">
        <f t="shared" si="0"/>
        <v>4800</v>
      </c>
      <c r="F20" s="369">
        <v>7200</v>
      </c>
      <c r="G20" s="408">
        <f>param_pagibig*MARKET_PLATILLA_ITEMS*12</f>
        <v>7200</v>
      </c>
      <c r="H20" s="402"/>
      <c r="I20" s="49" t="s">
        <v>610</v>
      </c>
    </row>
    <row r="21" spans="1:9" ht="15" customHeight="1" x14ac:dyDescent="0.25">
      <c r="A21" s="373" t="s">
        <v>26</v>
      </c>
      <c r="B21" s="352" t="s">
        <v>27</v>
      </c>
      <c r="C21" s="406">
        <v>18497.580000000002</v>
      </c>
      <c r="D21" s="369">
        <v>13194.51</v>
      </c>
      <c r="E21" s="406">
        <f t="shared" si="0"/>
        <v>26805.489999999998</v>
      </c>
      <c r="F21" s="369">
        <v>40000</v>
      </c>
      <c r="G21" s="408">
        <f>ROUND(H21+(H21*0.1), -1)</f>
        <v>32020</v>
      </c>
      <c r="H21" s="402">
        <v>29106.264000000003</v>
      </c>
    </row>
    <row r="22" spans="1:9" ht="15" customHeight="1" x14ac:dyDescent="0.25">
      <c r="A22" s="373" t="s">
        <v>28</v>
      </c>
      <c r="B22" s="352" t="s">
        <v>29</v>
      </c>
      <c r="C22" s="406">
        <v>4800</v>
      </c>
      <c r="D22" s="369">
        <v>2400</v>
      </c>
      <c r="E22" s="406">
        <f t="shared" si="0"/>
        <v>4800</v>
      </c>
      <c r="F22" s="369">
        <v>7200</v>
      </c>
      <c r="G22" s="408">
        <f>param_ecc*MARKET_PLATILLA_ITEMS*12</f>
        <v>7200</v>
      </c>
      <c r="H22" s="402"/>
    </row>
    <row r="23" spans="1:9" ht="15" customHeight="1" x14ac:dyDescent="0.25">
      <c r="A23" s="403" t="s">
        <v>30</v>
      </c>
      <c r="B23" s="365"/>
      <c r="C23" s="404"/>
      <c r="D23" s="366"/>
      <c r="E23" s="404"/>
      <c r="F23" s="366"/>
      <c r="G23" s="405"/>
      <c r="H23" s="402"/>
    </row>
    <row r="24" spans="1:9" ht="15" customHeight="1" x14ac:dyDescent="0.25">
      <c r="A24" s="373" t="s">
        <v>30</v>
      </c>
      <c r="B24" s="352" t="s">
        <v>33</v>
      </c>
      <c r="C24" s="406"/>
      <c r="D24" s="369"/>
      <c r="E24" s="369"/>
      <c r="F24" s="369"/>
      <c r="G24" s="408"/>
      <c r="H24" s="519">
        <f>SUM(G24:G31)</f>
        <v>190276.10000000003</v>
      </c>
    </row>
    <row r="25" spans="1:9" ht="15" customHeight="1" x14ac:dyDescent="0.25">
      <c r="A25" s="434" t="s">
        <v>332</v>
      </c>
      <c r="B25" s="352"/>
      <c r="C25" s="406">
        <v>106716</v>
      </c>
      <c r="D25" s="369">
        <v>110251</v>
      </c>
      <c r="E25" s="406">
        <f t="shared" ref="E25:E27" si="1">F25-D25</f>
        <v>7528.2000000000262</v>
      </c>
      <c r="F25" s="369">
        <v>117779.20000000003</v>
      </c>
      <c r="G25" s="408">
        <f>H12/12+I25</f>
        <v>145276.10000000003</v>
      </c>
      <c r="H25" s="402"/>
      <c r="I25" s="49">
        <f>I14/4</f>
        <v>24000</v>
      </c>
    </row>
    <row r="26" spans="1:9" ht="15" customHeight="1" x14ac:dyDescent="0.25">
      <c r="A26" s="434" t="s">
        <v>333</v>
      </c>
      <c r="B26" s="352"/>
      <c r="C26" s="406">
        <v>20000</v>
      </c>
      <c r="D26" s="369"/>
      <c r="E26" s="406">
        <f t="shared" si="1"/>
        <v>20000</v>
      </c>
      <c r="F26" s="369">
        <v>20000</v>
      </c>
      <c r="G26" s="408">
        <f>param_pei*MARKET_PLATILLA_ITEMS</f>
        <v>20000</v>
      </c>
      <c r="H26" s="402"/>
    </row>
    <row r="27" spans="1:9" ht="30" customHeight="1" x14ac:dyDescent="0.25">
      <c r="A27" s="434" t="s">
        <v>649</v>
      </c>
      <c r="B27" s="352"/>
      <c r="C27" s="406"/>
      <c r="D27" s="369"/>
      <c r="E27" s="406">
        <f t="shared" si="1"/>
        <v>20000</v>
      </c>
      <c r="F27" s="369">
        <v>20000</v>
      </c>
      <c r="G27" s="408">
        <f>param_pbb*MARKET_PLATILLA_ITEMS</f>
        <v>20000</v>
      </c>
      <c r="H27" s="402"/>
    </row>
    <row r="28" spans="1:9" ht="15" customHeight="1" x14ac:dyDescent="0.25">
      <c r="A28" s="434" t="s">
        <v>334</v>
      </c>
      <c r="B28" s="352"/>
      <c r="C28" s="406"/>
      <c r="D28" s="369"/>
      <c r="E28" s="406"/>
      <c r="F28" s="369">
        <v>5000</v>
      </c>
      <c r="G28" s="369">
        <v>5000</v>
      </c>
      <c r="H28" s="446"/>
    </row>
    <row r="29" spans="1:9" ht="15" customHeight="1" x14ac:dyDescent="0.25">
      <c r="A29" s="513" t="s">
        <v>650</v>
      </c>
      <c r="B29" s="479"/>
      <c r="C29" s="381">
        <v>100000</v>
      </c>
      <c r="D29" s="381"/>
      <c r="E29" s="381"/>
      <c r="F29" s="381"/>
      <c r="G29" s="381"/>
      <c r="H29" s="375"/>
    </row>
    <row r="30" spans="1:9" ht="15" customHeight="1" x14ac:dyDescent="0.25">
      <c r="A30" s="376" t="s">
        <v>652</v>
      </c>
      <c r="B30" s="352"/>
      <c r="C30" s="369"/>
      <c r="D30" s="369"/>
      <c r="E30" s="369"/>
      <c r="F30" s="369"/>
      <c r="G30" s="369"/>
      <c r="H30" s="375"/>
    </row>
    <row r="31" spans="1:9" ht="15" customHeight="1" x14ac:dyDescent="0.25">
      <c r="A31" s="378" t="s">
        <v>653</v>
      </c>
      <c r="B31" s="379"/>
      <c r="C31" s="380">
        <v>40000</v>
      </c>
      <c r="D31" s="380"/>
      <c r="E31" s="381"/>
      <c r="F31" s="380"/>
      <c r="G31" s="380"/>
      <c r="H31" s="375"/>
    </row>
    <row r="32" spans="1:9" ht="15" customHeight="1" x14ac:dyDescent="0.25">
      <c r="A32" s="396" t="s">
        <v>34</v>
      </c>
      <c r="B32" s="397"/>
      <c r="C32" s="398">
        <f>SUM(C11:C31)</f>
        <v>1964988.11</v>
      </c>
      <c r="D32" s="398">
        <f t="shared" ref="D32:F32" si="2">SUM(D11:D31)</f>
        <v>940461.35</v>
      </c>
      <c r="E32" s="398">
        <f t="shared" si="2"/>
        <v>1112449.4980000004</v>
      </c>
      <c r="F32" s="398">
        <f t="shared" si="2"/>
        <v>2057910.8480000002</v>
      </c>
      <c r="G32" s="398">
        <f>SUM(G11:G31)</f>
        <v>2199922.9840000002</v>
      </c>
      <c r="H32" s="445"/>
    </row>
    <row r="33" spans="1:8" ht="15" customHeight="1" x14ac:dyDescent="0.25">
      <c r="A33" s="429" t="s">
        <v>35</v>
      </c>
      <c r="B33" s="362"/>
      <c r="C33" s="430"/>
      <c r="D33" s="363"/>
      <c r="E33" s="430"/>
      <c r="F33" s="525"/>
      <c r="G33" s="526"/>
      <c r="H33" s="519"/>
    </row>
    <row r="34" spans="1:8" x14ac:dyDescent="0.25">
      <c r="A34" s="403" t="s">
        <v>55</v>
      </c>
      <c r="B34" s="365"/>
      <c r="C34" s="404"/>
      <c r="D34" s="366"/>
      <c r="E34" s="406"/>
      <c r="F34" s="390"/>
      <c r="G34" s="405"/>
      <c r="H34" s="16"/>
    </row>
    <row r="35" spans="1:8" x14ac:dyDescent="0.25">
      <c r="A35" s="373" t="s">
        <v>56</v>
      </c>
      <c r="B35" s="352" t="s">
        <v>57</v>
      </c>
      <c r="C35" s="406">
        <v>2450</v>
      </c>
      <c r="D35" s="369"/>
      <c r="E35" s="406">
        <f t="shared" ref="E35" si="3">F35-D35</f>
        <v>20000</v>
      </c>
      <c r="F35" s="369">
        <v>20000</v>
      </c>
      <c r="G35" s="408">
        <v>20000</v>
      </c>
      <c r="H35" s="16"/>
    </row>
    <row r="36" spans="1:8" ht="15" customHeight="1" x14ac:dyDescent="0.25">
      <c r="A36" s="403" t="s">
        <v>58</v>
      </c>
      <c r="B36" s="365"/>
      <c r="C36" s="404"/>
      <c r="D36" s="366"/>
      <c r="E36" s="406"/>
      <c r="F36" s="366"/>
      <c r="G36" s="405"/>
      <c r="H36" s="16"/>
    </row>
    <row r="37" spans="1:8" ht="15" customHeight="1" x14ac:dyDescent="0.25">
      <c r="A37" s="373" t="s">
        <v>61</v>
      </c>
      <c r="B37" s="352" t="s">
        <v>62</v>
      </c>
      <c r="C37" s="406"/>
      <c r="D37" s="369"/>
      <c r="E37" s="406">
        <f t="shared" ref="E37:E38" si="4">F37-D37</f>
        <v>36000</v>
      </c>
      <c r="F37" s="369">
        <v>36000</v>
      </c>
      <c r="G37" s="408">
        <v>36000</v>
      </c>
      <c r="H37" s="16"/>
    </row>
    <row r="38" spans="1:8" ht="15" customHeight="1" x14ac:dyDescent="0.25">
      <c r="A38" s="373" t="s">
        <v>63</v>
      </c>
      <c r="B38" s="352" t="s">
        <v>64</v>
      </c>
      <c r="C38" s="406"/>
      <c r="D38" s="369"/>
      <c r="E38" s="406">
        <f t="shared" si="4"/>
        <v>36000</v>
      </c>
      <c r="F38" s="369">
        <v>36000</v>
      </c>
      <c r="G38" s="408"/>
      <c r="H38" s="16"/>
    </row>
    <row r="39" spans="1:8" x14ac:dyDescent="0.25">
      <c r="A39" s="403" t="s">
        <v>79</v>
      </c>
      <c r="B39" s="352"/>
      <c r="C39" s="406"/>
      <c r="D39" s="369"/>
      <c r="E39" s="406"/>
      <c r="F39" s="394"/>
      <c r="G39" s="408"/>
      <c r="H39" s="16"/>
    </row>
    <row r="40" spans="1:8" ht="15" customHeight="1" x14ac:dyDescent="0.25">
      <c r="A40" s="373" t="s">
        <v>80</v>
      </c>
      <c r="B40" s="352" t="s">
        <v>81</v>
      </c>
      <c r="C40" s="406">
        <v>4497230</v>
      </c>
      <c r="D40" s="369">
        <v>2331200</v>
      </c>
      <c r="E40" s="406">
        <f>F40-D40</f>
        <v>2608800</v>
      </c>
      <c r="F40" s="369">
        <v>4940000</v>
      </c>
      <c r="G40" s="717">
        <v>5706240</v>
      </c>
      <c r="H40" s="371"/>
    </row>
    <row r="41" spans="1:8" ht="15" customHeight="1" x14ac:dyDescent="0.25">
      <c r="A41" s="403" t="s">
        <v>42</v>
      </c>
      <c r="B41" s="352"/>
      <c r="C41" s="406"/>
      <c r="D41" s="369"/>
      <c r="E41" s="406"/>
      <c r="F41" s="394"/>
      <c r="G41" s="408"/>
      <c r="H41" s="16"/>
    </row>
    <row r="42" spans="1:8" ht="15" customHeight="1" x14ac:dyDescent="0.25">
      <c r="A42" s="373" t="s">
        <v>342</v>
      </c>
      <c r="B42" s="352" t="s">
        <v>176</v>
      </c>
      <c r="C42" s="406"/>
      <c r="D42" s="369"/>
      <c r="E42" s="406">
        <f t="shared" ref="E42" si="5">F42-D42</f>
        <v>50000</v>
      </c>
      <c r="F42" s="369">
        <v>50000</v>
      </c>
      <c r="G42" s="369">
        <v>8000</v>
      </c>
      <c r="H42" s="16"/>
    </row>
    <row r="43" spans="1:8" ht="30" customHeight="1" x14ac:dyDescent="0.25">
      <c r="A43" s="396" t="s">
        <v>86</v>
      </c>
      <c r="B43" s="397"/>
      <c r="C43" s="398">
        <f>SUM(C35:C42)</f>
        <v>4499680</v>
      </c>
      <c r="D43" s="398">
        <f>SUM(D35:D42)</f>
        <v>2331200</v>
      </c>
      <c r="E43" s="398">
        <f>SUM(E35:E42)</f>
        <v>2750800</v>
      </c>
      <c r="F43" s="398">
        <f>SUM(F35:F42)</f>
        <v>5082000</v>
      </c>
      <c r="G43" s="398">
        <f>SUM(G35:G42)</f>
        <v>5770240</v>
      </c>
      <c r="H43" s="788">
        <v>5770240</v>
      </c>
    </row>
    <row r="44" spans="1:8" ht="15" customHeight="1" x14ac:dyDescent="0.25">
      <c r="A44" s="429" t="s">
        <v>88</v>
      </c>
      <c r="B44" s="362"/>
      <c r="C44" s="430"/>
      <c r="D44" s="363"/>
      <c r="E44" s="430"/>
      <c r="F44" s="363"/>
      <c r="G44" s="431"/>
      <c r="H44" s="439"/>
    </row>
    <row r="45" spans="1:8" ht="15" customHeight="1" x14ac:dyDescent="0.25">
      <c r="A45" s="396" t="s">
        <v>112</v>
      </c>
      <c r="B45" s="436"/>
      <c r="C45" s="398">
        <f>SUM(C44:C44)</f>
        <v>0</v>
      </c>
      <c r="D45" s="398">
        <f>SUM(D44:D44)</f>
        <v>0</v>
      </c>
      <c r="E45" s="398">
        <f>SUM(E44:E44)</f>
        <v>0</v>
      </c>
      <c r="F45" s="398">
        <f>SUM(F44:F44)</f>
        <v>0</v>
      </c>
      <c r="G45" s="398">
        <f>SUM(G44:G44)</f>
        <v>0</v>
      </c>
      <c r="H45" s="16"/>
    </row>
    <row r="46" spans="1:8" ht="15" customHeight="1" x14ac:dyDescent="0.25">
      <c r="A46" s="419" t="s">
        <v>113</v>
      </c>
      <c r="B46" s="547"/>
      <c r="C46" s="421">
        <f>C32+C43+C45</f>
        <v>6464668.1100000003</v>
      </c>
      <c r="D46" s="421">
        <f>D32+D43+D45</f>
        <v>3271661.35</v>
      </c>
      <c r="E46" s="421">
        <f>E32+E43+E45</f>
        <v>3863249.4980000006</v>
      </c>
      <c r="F46" s="421">
        <f>F32+F43+F45</f>
        <v>7139910.8480000002</v>
      </c>
      <c r="G46" s="421">
        <f>G32+G43+G45</f>
        <v>7970162.9840000002</v>
      </c>
      <c r="H46" s="371"/>
    </row>
    <row r="47" spans="1:8" x14ac:dyDescent="0.25">
      <c r="A47" s="16"/>
      <c r="B47" s="16"/>
      <c r="C47" s="16"/>
      <c r="D47" s="16"/>
      <c r="E47" s="16"/>
      <c r="F47" s="16"/>
      <c r="G47" s="16"/>
      <c r="H47" s="16"/>
    </row>
    <row r="48" spans="1:8"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ht="38.25" customHeight="1"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353"/>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69" fitToHeight="0" orientation="portrait" horizontalDpi="360" verticalDpi="360" r:id="rId1"/>
  <headerFooter scaleWithDoc="0">
    <oddFooter>&amp;C&amp;"Candara,Regular"&amp;10Page &amp;"Candara,Bold"&amp;P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M90"/>
  <sheetViews>
    <sheetView view="pageBreakPreview" zoomScale="110" zoomScaleNormal="130" zoomScaleSheetLayoutView="110" workbookViewId="0">
      <pane xSplit="1" topLeftCell="B1" activePane="topRight" state="frozen"/>
      <selection activeCell="C40" sqref="C40"/>
      <selection pane="top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0" style="41" bestFit="1" customWidth="1"/>
    <col min="9" max="16384" width="9.140625" style="41"/>
  </cols>
  <sheetData>
    <row r="1" spans="1:13" ht="15" customHeight="1" x14ac:dyDescent="0.25">
      <c r="A1" s="1071" t="s">
        <v>807</v>
      </c>
      <c r="B1" s="1071"/>
      <c r="C1" s="1071"/>
      <c r="D1" s="1071"/>
      <c r="E1" s="1071"/>
      <c r="F1" s="1071"/>
      <c r="G1" s="1071"/>
    </row>
    <row r="2" spans="1:13" ht="18.75" customHeight="1" x14ac:dyDescent="0.3">
      <c r="A2" s="1072" t="s">
        <v>232</v>
      </c>
      <c r="B2" s="1072"/>
      <c r="C2" s="1072"/>
      <c r="D2" s="1072"/>
      <c r="E2" s="1072"/>
      <c r="F2" s="1072"/>
      <c r="G2" s="1072"/>
    </row>
    <row r="3" spans="1:13" ht="15.75" customHeight="1" x14ac:dyDescent="0.25">
      <c r="A3" s="1073" t="s">
        <v>233</v>
      </c>
      <c r="B3" s="1073"/>
      <c r="C3" s="1073"/>
      <c r="D3" s="1073"/>
      <c r="E3" s="1073"/>
      <c r="F3" s="1073"/>
      <c r="G3" s="1073"/>
    </row>
    <row r="4" spans="1:13" ht="15" customHeight="1" x14ac:dyDescent="0.25">
      <c r="A4" s="1074" t="s">
        <v>150</v>
      </c>
      <c r="B4" s="1075"/>
      <c r="C4" s="1075"/>
      <c r="D4" s="1075"/>
      <c r="E4" s="1075"/>
      <c r="F4" s="1075"/>
      <c r="G4" s="1075"/>
    </row>
    <row r="6" spans="1:13" s="43" customFormat="1" ht="12" x14ac:dyDescent="0.2">
      <c r="A6" s="1099" t="s">
        <v>1</v>
      </c>
      <c r="B6" s="1099" t="s">
        <v>2</v>
      </c>
      <c r="C6" s="1099" t="s">
        <v>310</v>
      </c>
      <c r="D6" s="1100" t="s">
        <v>307</v>
      </c>
      <c r="E6" s="1100"/>
      <c r="F6" s="1100"/>
      <c r="G6" s="1099" t="s">
        <v>311</v>
      </c>
      <c r="H6" s="358"/>
      <c r="I6" s="358"/>
      <c r="J6" s="358"/>
      <c r="K6" s="358"/>
      <c r="L6" s="358"/>
      <c r="M6" s="358"/>
    </row>
    <row r="7" spans="1:13" s="43" customFormat="1" ht="12" x14ac:dyDescent="0.2">
      <c r="A7" s="1099"/>
      <c r="B7" s="1099"/>
      <c r="C7" s="1099"/>
      <c r="D7" s="1100"/>
      <c r="E7" s="1100"/>
      <c r="F7" s="1100"/>
      <c r="G7" s="1099"/>
      <c r="H7" s="358"/>
      <c r="I7" s="358"/>
      <c r="J7" s="358"/>
      <c r="K7" s="358"/>
      <c r="L7" s="358"/>
      <c r="M7" s="358"/>
    </row>
    <row r="8" spans="1:13" s="43" customFormat="1" ht="24" x14ac:dyDescent="0.2">
      <c r="A8" s="1099"/>
      <c r="B8" s="1099"/>
      <c r="C8" s="1099"/>
      <c r="D8" s="359" t="s">
        <v>308</v>
      </c>
      <c r="E8" s="359" t="s">
        <v>309</v>
      </c>
      <c r="F8" s="359" t="s">
        <v>3</v>
      </c>
      <c r="G8" s="1099"/>
      <c r="H8" s="358"/>
      <c r="I8" s="358"/>
      <c r="J8" s="358"/>
      <c r="K8" s="358"/>
      <c r="L8" s="358"/>
      <c r="M8" s="358"/>
    </row>
    <row r="9" spans="1:13" s="70" customFormat="1" ht="11.25" x14ac:dyDescent="0.25">
      <c r="A9" s="360">
        <v>1</v>
      </c>
      <c r="B9" s="360">
        <v>2</v>
      </c>
      <c r="C9" s="360">
        <v>3</v>
      </c>
      <c r="D9" s="360">
        <v>4</v>
      </c>
      <c r="E9" s="360">
        <v>5</v>
      </c>
      <c r="F9" s="360">
        <v>6</v>
      </c>
      <c r="G9" s="360">
        <v>7</v>
      </c>
      <c r="H9" s="423"/>
      <c r="I9" s="361"/>
      <c r="J9" s="361"/>
      <c r="K9" s="361"/>
      <c r="L9" s="361"/>
      <c r="M9" s="361"/>
    </row>
    <row r="10" spans="1:13" s="43" customFormat="1" ht="15" customHeight="1" x14ac:dyDescent="0.2">
      <c r="A10" s="429" t="s">
        <v>4</v>
      </c>
      <c r="B10" s="362"/>
      <c r="C10" s="430"/>
      <c r="D10" s="363"/>
      <c r="E10" s="430"/>
      <c r="F10" s="363"/>
      <c r="G10" s="431">
        <v>0</v>
      </c>
      <c r="H10" s="358"/>
      <c r="I10" s="358"/>
      <c r="J10" s="358"/>
      <c r="K10" s="358"/>
      <c r="L10" s="358"/>
      <c r="M10" s="358"/>
    </row>
    <row r="11" spans="1:13" s="55" customFormat="1" ht="15" customHeight="1" x14ac:dyDescent="0.2">
      <c r="A11" s="396" t="s">
        <v>34</v>
      </c>
      <c r="B11" s="397"/>
      <c r="C11" s="398">
        <v>0</v>
      </c>
      <c r="D11" s="398">
        <v>0</v>
      </c>
      <c r="E11" s="398">
        <v>0</v>
      </c>
      <c r="F11" s="398">
        <v>0</v>
      </c>
      <c r="G11" s="398">
        <f>SUM(G10)</f>
        <v>0</v>
      </c>
      <c r="H11" s="533"/>
      <c r="I11" s="533"/>
      <c r="J11" s="533"/>
      <c r="K11" s="533"/>
      <c r="L11" s="533"/>
      <c r="M11" s="533"/>
    </row>
    <row r="12" spans="1:13" s="43" customFormat="1" ht="15" customHeight="1" x14ac:dyDescent="0.2">
      <c r="A12" s="429" t="s">
        <v>35</v>
      </c>
      <c r="B12" s="362"/>
      <c r="C12" s="430"/>
      <c r="D12" s="363"/>
      <c r="E12" s="430"/>
      <c r="F12" s="363"/>
      <c r="G12" s="431"/>
      <c r="H12" s="358"/>
      <c r="I12" s="358"/>
      <c r="J12" s="358"/>
      <c r="K12" s="358"/>
      <c r="L12" s="358"/>
      <c r="M12" s="358"/>
    </row>
    <row r="13" spans="1:13" s="43" customFormat="1" ht="15" customHeight="1" x14ac:dyDescent="0.2">
      <c r="A13" s="403" t="s">
        <v>50</v>
      </c>
      <c r="B13" s="365"/>
      <c r="C13" s="404"/>
      <c r="D13" s="366"/>
      <c r="E13" s="404"/>
      <c r="F13" s="366"/>
      <c r="G13" s="405"/>
      <c r="H13" s="358"/>
      <c r="I13" s="358"/>
      <c r="J13" s="358"/>
      <c r="K13" s="358"/>
      <c r="L13" s="358"/>
      <c r="M13" s="358"/>
    </row>
    <row r="14" spans="1:13" s="43" customFormat="1" ht="15" customHeight="1" x14ac:dyDescent="0.2">
      <c r="A14" s="373" t="s">
        <v>139</v>
      </c>
      <c r="B14" s="352" t="s">
        <v>138</v>
      </c>
      <c r="C14" s="406">
        <v>2500</v>
      </c>
      <c r="D14" s="369"/>
      <c r="E14" s="406">
        <f>F14-D14</f>
        <v>10000</v>
      </c>
      <c r="F14" s="369">
        <v>10000</v>
      </c>
      <c r="G14" s="408">
        <v>5000</v>
      </c>
      <c r="H14" s="358"/>
      <c r="I14" s="358"/>
      <c r="J14" s="358"/>
      <c r="K14" s="358"/>
      <c r="L14" s="358"/>
      <c r="M14" s="358"/>
    </row>
    <row r="15" spans="1:13" s="43" customFormat="1" ht="15" customHeight="1" x14ac:dyDescent="0.2">
      <c r="A15" s="403" t="s">
        <v>55</v>
      </c>
      <c r="B15" s="365"/>
      <c r="C15" s="404"/>
      <c r="D15" s="366"/>
      <c r="E15" s="404"/>
      <c r="F15" s="366"/>
      <c r="G15" s="405"/>
      <c r="H15" s="358"/>
      <c r="I15" s="358"/>
      <c r="J15" s="358"/>
      <c r="K15" s="358"/>
      <c r="L15" s="358"/>
      <c r="M15" s="358"/>
    </row>
    <row r="16" spans="1:13" s="43" customFormat="1" ht="15" customHeight="1" x14ac:dyDescent="0.2">
      <c r="A16" s="373" t="s">
        <v>56</v>
      </c>
      <c r="B16" s="352" t="s">
        <v>57</v>
      </c>
      <c r="C16" s="406"/>
      <c r="D16" s="369"/>
      <c r="E16" s="406">
        <f>F16-D16</f>
        <v>3000</v>
      </c>
      <c r="F16" s="369">
        <v>3000</v>
      </c>
      <c r="G16" s="369">
        <v>3000</v>
      </c>
      <c r="H16" s="456"/>
      <c r="I16" s="358"/>
      <c r="J16" s="358"/>
      <c r="K16" s="358"/>
      <c r="L16" s="358"/>
      <c r="M16" s="358"/>
    </row>
    <row r="17" spans="1:13" s="43" customFormat="1" ht="15" customHeight="1" x14ac:dyDescent="0.2">
      <c r="A17" s="403" t="s">
        <v>58</v>
      </c>
      <c r="B17" s="365"/>
      <c r="C17" s="404"/>
      <c r="D17" s="366"/>
      <c r="E17" s="404"/>
      <c r="F17" s="366"/>
      <c r="G17" s="405"/>
      <c r="H17" s="358"/>
      <c r="I17" s="358"/>
      <c r="J17" s="358"/>
      <c r="K17" s="358"/>
      <c r="L17" s="358"/>
      <c r="M17" s="358"/>
    </row>
    <row r="18" spans="1:13" s="43" customFormat="1" ht="15" customHeight="1" x14ac:dyDescent="0.2">
      <c r="A18" s="373" t="s">
        <v>61</v>
      </c>
      <c r="B18" s="352" t="s">
        <v>62</v>
      </c>
      <c r="C18" s="406">
        <v>5000</v>
      </c>
      <c r="D18" s="369"/>
      <c r="E18" s="406">
        <f t="shared" ref="E18:E19" si="0">F18-D18</f>
        <v>36000</v>
      </c>
      <c r="F18" s="369">
        <v>36000</v>
      </c>
      <c r="G18" s="369">
        <v>36000</v>
      </c>
      <c r="H18" s="358"/>
      <c r="I18" s="358"/>
      <c r="J18" s="358"/>
      <c r="K18" s="358"/>
      <c r="L18" s="358"/>
      <c r="M18" s="358"/>
    </row>
    <row r="19" spans="1:13" s="43" customFormat="1" ht="15" customHeight="1" x14ac:dyDescent="0.2">
      <c r="A19" s="373" t="s">
        <v>63</v>
      </c>
      <c r="B19" s="352" t="s">
        <v>64</v>
      </c>
      <c r="C19" s="406">
        <v>16697</v>
      </c>
      <c r="D19" s="369">
        <v>15000</v>
      </c>
      <c r="E19" s="406">
        <f t="shared" si="0"/>
        <v>15000</v>
      </c>
      <c r="F19" s="369">
        <v>30000</v>
      </c>
      <c r="G19" s="369">
        <v>30000</v>
      </c>
      <c r="H19" s="358"/>
      <c r="I19" s="358"/>
      <c r="J19" s="358"/>
      <c r="K19" s="358"/>
      <c r="L19" s="358"/>
      <c r="M19" s="358"/>
    </row>
    <row r="20" spans="1:13" s="43" customFormat="1" ht="17.25" customHeight="1" x14ac:dyDescent="0.2">
      <c r="A20" s="478" t="s">
        <v>42</v>
      </c>
      <c r="B20" s="704"/>
      <c r="C20" s="705"/>
      <c r="D20" s="594"/>
      <c r="E20" s="705"/>
      <c r="F20" s="594"/>
      <c r="G20" s="594"/>
      <c r="H20" s="358"/>
      <c r="I20" s="358"/>
      <c r="J20" s="358"/>
      <c r="K20" s="358"/>
      <c r="L20" s="358"/>
      <c r="M20" s="358"/>
    </row>
    <row r="21" spans="1:13" s="43" customFormat="1" ht="15" customHeight="1" x14ac:dyDescent="0.2">
      <c r="A21" s="373" t="s">
        <v>42</v>
      </c>
      <c r="B21" s="352" t="s">
        <v>176</v>
      </c>
      <c r="C21" s="406"/>
      <c r="D21" s="369">
        <v>600</v>
      </c>
      <c r="E21" s="406">
        <f>F21-D21</f>
        <v>19400</v>
      </c>
      <c r="F21" s="369">
        <v>20000</v>
      </c>
      <c r="G21" s="369">
        <v>17000</v>
      </c>
      <c r="H21" s="358"/>
      <c r="I21" s="358"/>
      <c r="J21" s="358"/>
      <c r="K21" s="358"/>
      <c r="L21" s="358"/>
      <c r="M21" s="358"/>
    </row>
    <row r="22" spans="1:13" s="55" customFormat="1" ht="30" customHeight="1" x14ac:dyDescent="0.2">
      <c r="A22" s="396" t="s">
        <v>86</v>
      </c>
      <c r="B22" s="397"/>
      <c r="C22" s="398">
        <f>SUM(C14:C21)</f>
        <v>24197</v>
      </c>
      <c r="D22" s="398">
        <f>SUM(D14:D21)</f>
        <v>15600</v>
      </c>
      <c r="E22" s="398">
        <f>SUM(E14:E21)</f>
        <v>83400</v>
      </c>
      <c r="F22" s="398">
        <f>SUM(F14:F21)</f>
        <v>99000</v>
      </c>
      <c r="G22" s="398">
        <f>SUM(G14:G21)</f>
        <v>91000</v>
      </c>
      <c r="H22" s="787">
        <v>53000</v>
      </c>
      <c r="I22" s="533"/>
      <c r="J22" s="533"/>
      <c r="K22" s="533"/>
      <c r="L22" s="533"/>
      <c r="M22" s="533"/>
    </row>
    <row r="23" spans="1:13" s="43" customFormat="1" ht="15" customHeight="1" x14ac:dyDescent="0.2">
      <c r="A23" s="538" t="s">
        <v>88</v>
      </c>
      <c r="B23" s="531"/>
      <c r="C23" s="539"/>
      <c r="D23" s="532"/>
      <c r="E23" s="539"/>
      <c r="F23" s="532"/>
      <c r="G23" s="532">
        <v>0</v>
      </c>
      <c r="H23" s="358"/>
      <c r="I23" s="358"/>
      <c r="J23" s="358"/>
      <c r="K23" s="358"/>
      <c r="L23" s="358"/>
      <c r="M23" s="358"/>
    </row>
    <row r="24" spans="1:13" s="56" customFormat="1" ht="15" customHeight="1" x14ac:dyDescent="0.2">
      <c r="A24" s="536" t="s">
        <v>112</v>
      </c>
      <c r="B24" s="436"/>
      <c r="C24" s="537">
        <v>0</v>
      </c>
      <c r="D24" s="398">
        <v>0</v>
      </c>
      <c r="E24" s="537">
        <v>0</v>
      </c>
      <c r="F24" s="398">
        <v>0</v>
      </c>
      <c r="G24" s="398">
        <f>SUM(G23)</f>
        <v>0</v>
      </c>
      <c r="H24" s="540"/>
      <c r="I24" s="540"/>
      <c r="J24" s="540"/>
      <c r="K24" s="540"/>
      <c r="L24" s="540"/>
      <c r="M24" s="540"/>
    </row>
    <row r="25" spans="1:13" s="56" customFormat="1" ht="15" customHeight="1" x14ac:dyDescent="0.2">
      <c r="A25" s="541" t="s">
        <v>113</v>
      </c>
      <c r="B25" s="542"/>
      <c r="C25" s="543">
        <f>C11+C22+C24</f>
        <v>24197</v>
      </c>
      <c r="D25" s="544">
        <f>D11+D22+D24</f>
        <v>15600</v>
      </c>
      <c r="E25" s="543">
        <f>E11+E22+E24</f>
        <v>83400</v>
      </c>
      <c r="F25" s="544">
        <f>F11+F22+F24</f>
        <v>99000</v>
      </c>
      <c r="G25" s="544">
        <f>G11+G22+G24</f>
        <v>91000</v>
      </c>
      <c r="H25" s="540"/>
      <c r="I25" s="540"/>
      <c r="J25" s="540"/>
      <c r="K25" s="540"/>
      <c r="L25" s="540"/>
      <c r="M25" s="540"/>
    </row>
    <row r="26" spans="1:13" x14ac:dyDescent="0.25">
      <c r="A26" s="16"/>
      <c r="B26" s="16"/>
      <c r="C26" s="16"/>
      <c r="D26" s="16"/>
      <c r="E26" s="16"/>
      <c r="F26" s="16"/>
      <c r="G26" s="16"/>
      <c r="H26" s="16"/>
      <c r="I26" s="16"/>
      <c r="J26" s="16"/>
      <c r="K26" s="16"/>
      <c r="L26" s="16"/>
      <c r="M26" s="16"/>
    </row>
    <row r="27" spans="1:13" x14ac:dyDescent="0.25">
      <c r="A27" s="16"/>
      <c r="B27" s="16"/>
      <c r="C27" s="16"/>
      <c r="D27" s="16"/>
      <c r="E27" s="16"/>
      <c r="F27" s="16"/>
      <c r="G27" s="16"/>
      <c r="H27" s="16"/>
      <c r="I27" s="546"/>
      <c r="J27" s="16"/>
      <c r="K27" s="16"/>
      <c r="L27" s="16"/>
      <c r="M27" s="16"/>
    </row>
    <row r="28" spans="1:13" x14ac:dyDescent="0.25">
      <c r="A28" s="16"/>
      <c r="B28" s="16"/>
      <c r="C28" s="16"/>
      <c r="D28" s="16"/>
      <c r="E28" s="16"/>
      <c r="F28" s="16"/>
      <c r="G28" s="16"/>
      <c r="H28" s="16"/>
      <c r="I28" s="16"/>
      <c r="J28" s="16"/>
      <c r="K28" s="16"/>
      <c r="L28" s="16"/>
      <c r="M28" s="16"/>
    </row>
    <row r="29" spans="1:13" x14ac:dyDescent="0.25">
      <c r="A29" s="16"/>
      <c r="B29" s="16"/>
      <c r="C29" s="16"/>
      <c r="D29" s="16"/>
      <c r="E29" s="16"/>
      <c r="F29" s="16"/>
      <c r="G29" s="16"/>
      <c r="H29" s="16"/>
      <c r="I29" s="16"/>
      <c r="J29" s="16"/>
      <c r="K29" s="16"/>
      <c r="L29" s="16"/>
      <c r="M29" s="16"/>
    </row>
    <row r="30" spans="1:13" x14ac:dyDescent="0.25">
      <c r="A30" s="16"/>
      <c r="B30" s="16"/>
      <c r="C30" s="16"/>
      <c r="D30" s="16"/>
      <c r="E30" s="16"/>
      <c r="F30" s="16"/>
      <c r="G30" s="16"/>
      <c r="H30" s="16"/>
      <c r="I30" s="16"/>
      <c r="J30" s="16"/>
      <c r="K30" s="16"/>
      <c r="L30" s="16"/>
      <c r="M30" s="16"/>
    </row>
    <row r="31" spans="1:13" x14ac:dyDescent="0.25">
      <c r="A31" s="16"/>
      <c r="B31" s="16"/>
      <c r="C31" s="16"/>
      <c r="D31" s="16"/>
      <c r="E31" s="16"/>
      <c r="F31" s="16"/>
      <c r="G31" s="16"/>
      <c r="H31" s="16"/>
      <c r="I31" s="16"/>
      <c r="J31" s="16"/>
      <c r="K31" s="16"/>
      <c r="L31" s="16"/>
      <c r="M31" s="16"/>
    </row>
    <row r="32" spans="1:13" x14ac:dyDescent="0.25">
      <c r="A32" s="16"/>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6"/>
      <c r="B34" s="16"/>
      <c r="C34" s="16"/>
      <c r="D34" s="16"/>
      <c r="E34" s="16"/>
      <c r="F34" s="16"/>
      <c r="G34" s="16"/>
      <c r="H34" s="16"/>
      <c r="I34" s="16"/>
      <c r="J34" s="16"/>
      <c r="K34" s="16"/>
      <c r="L34" s="16"/>
      <c r="M34" s="16"/>
    </row>
    <row r="35" spans="1:13" x14ac:dyDescent="0.25">
      <c r="A35" s="16"/>
      <c r="B35" s="16"/>
      <c r="C35" s="16"/>
      <c r="D35" s="16"/>
      <c r="E35" s="16"/>
      <c r="F35" s="16"/>
      <c r="G35" s="16"/>
      <c r="H35" s="16"/>
      <c r="I35" s="16"/>
      <c r="J35" s="16"/>
      <c r="K35" s="16"/>
      <c r="L35" s="16"/>
      <c r="M35" s="16"/>
    </row>
    <row r="36" spans="1:13" x14ac:dyDescent="0.25">
      <c r="A36" s="16"/>
      <c r="B36" s="16"/>
      <c r="C36" s="16"/>
      <c r="D36" s="16"/>
      <c r="E36" s="16"/>
      <c r="F36" s="16"/>
      <c r="G36" s="16"/>
      <c r="H36" s="16"/>
      <c r="I36" s="16"/>
      <c r="J36" s="16"/>
      <c r="K36" s="16"/>
      <c r="L36" s="16"/>
      <c r="M36" s="16"/>
    </row>
    <row r="37" spans="1:13" x14ac:dyDescent="0.25">
      <c r="A37" s="16"/>
      <c r="B37" s="16"/>
      <c r="C37" s="16"/>
      <c r="D37" s="16"/>
      <c r="E37" s="16"/>
      <c r="F37" s="16"/>
      <c r="G37" s="16"/>
      <c r="H37" s="16"/>
      <c r="I37" s="16"/>
      <c r="J37" s="16"/>
      <c r="K37" s="16"/>
      <c r="L37" s="16"/>
      <c r="M37" s="16"/>
    </row>
    <row r="38" spans="1:13" x14ac:dyDescent="0.25">
      <c r="A38" s="16"/>
      <c r="B38" s="16"/>
      <c r="C38" s="16"/>
      <c r="D38" s="16"/>
      <c r="E38" s="16"/>
      <c r="F38" s="16"/>
      <c r="G38" s="16"/>
      <c r="H38" s="16"/>
      <c r="I38" s="16"/>
      <c r="J38" s="16"/>
      <c r="K38" s="16"/>
      <c r="L38" s="16"/>
      <c r="M38" s="16"/>
    </row>
    <row r="39" spans="1:13" x14ac:dyDescent="0.25">
      <c r="A39" s="16"/>
      <c r="B39" s="16"/>
      <c r="C39" s="16"/>
      <c r="D39" s="16"/>
      <c r="E39" s="16"/>
      <c r="F39" s="16"/>
      <c r="G39" s="16"/>
      <c r="H39" s="16"/>
      <c r="I39" s="16"/>
      <c r="J39" s="16"/>
      <c r="K39" s="16"/>
      <c r="L39" s="16"/>
      <c r="M39" s="16"/>
    </row>
    <row r="40" spans="1:13" x14ac:dyDescent="0.25">
      <c r="A40" s="16"/>
      <c r="B40" s="16"/>
      <c r="C40" s="16"/>
      <c r="D40" s="16"/>
      <c r="E40" s="16"/>
      <c r="F40" s="16"/>
      <c r="G40" s="16"/>
      <c r="H40" s="16"/>
      <c r="I40" s="16"/>
      <c r="J40" s="16"/>
      <c r="K40" s="16"/>
      <c r="L40" s="16"/>
      <c r="M40" s="16"/>
    </row>
    <row r="41" spans="1:13" x14ac:dyDescent="0.25">
      <c r="A41" s="16"/>
      <c r="B41" s="16"/>
      <c r="C41" s="16"/>
      <c r="D41" s="16"/>
      <c r="E41" s="16"/>
      <c r="F41" s="16"/>
      <c r="G41" s="16"/>
      <c r="H41" s="16"/>
      <c r="I41" s="16"/>
      <c r="J41" s="16"/>
      <c r="K41" s="16"/>
      <c r="L41" s="16"/>
      <c r="M41" s="16"/>
    </row>
    <row r="42" spans="1:13" x14ac:dyDescent="0.25">
      <c r="A42" s="16"/>
      <c r="B42" s="16"/>
      <c r="C42" s="16"/>
      <c r="D42" s="16"/>
      <c r="E42" s="16"/>
      <c r="F42" s="16"/>
      <c r="G42" s="16"/>
      <c r="H42" s="16"/>
      <c r="I42" s="16"/>
      <c r="J42" s="16"/>
      <c r="K42" s="16"/>
      <c r="L42" s="16"/>
      <c r="M42" s="16"/>
    </row>
    <row r="43" spans="1:13" x14ac:dyDescent="0.25">
      <c r="A43" s="16"/>
      <c r="B43" s="16"/>
      <c r="C43" s="16"/>
      <c r="D43" s="16"/>
      <c r="E43" s="16"/>
      <c r="F43" s="16"/>
      <c r="G43" s="16"/>
      <c r="H43" s="16"/>
      <c r="I43" s="16"/>
      <c r="J43" s="16"/>
      <c r="K43" s="16"/>
      <c r="L43" s="16"/>
      <c r="M43" s="16"/>
    </row>
    <row r="44" spans="1:13" x14ac:dyDescent="0.25">
      <c r="A44" s="16"/>
      <c r="B44" s="16"/>
      <c r="C44" s="16"/>
      <c r="D44" s="16"/>
      <c r="E44" s="16"/>
      <c r="F44" s="16"/>
      <c r="G44" s="16"/>
      <c r="H44" s="16"/>
      <c r="I44" s="16"/>
      <c r="J44" s="16"/>
      <c r="K44" s="16"/>
      <c r="L44" s="16"/>
      <c r="M44" s="16"/>
    </row>
    <row r="45" spans="1:13" x14ac:dyDescent="0.25">
      <c r="A45" s="16"/>
      <c r="B45" s="16"/>
      <c r="C45" s="16"/>
      <c r="D45" s="16"/>
      <c r="E45" s="16"/>
      <c r="F45" s="16"/>
      <c r="G45" s="16"/>
      <c r="H45" s="16"/>
      <c r="I45" s="16"/>
      <c r="J45" s="16"/>
      <c r="K45" s="16"/>
      <c r="L45" s="16"/>
      <c r="M45" s="16"/>
    </row>
    <row r="46" spans="1:13" x14ac:dyDescent="0.25">
      <c r="A46" s="16"/>
      <c r="B46" s="16"/>
      <c r="C46" s="16"/>
      <c r="D46" s="16"/>
      <c r="E46" s="16"/>
      <c r="F46" s="16"/>
      <c r="G46" s="16"/>
      <c r="H46" s="16"/>
      <c r="I46" s="16"/>
      <c r="J46" s="16"/>
      <c r="K46" s="16"/>
      <c r="L46" s="16"/>
      <c r="M46" s="16"/>
    </row>
    <row r="47" spans="1:13" x14ac:dyDescent="0.25">
      <c r="A47" s="16"/>
      <c r="B47" s="16"/>
      <c r="C47" s="16"/>
      <c r="D47" s="16"/>
      <c r="E47" s="16"/>
      <c r="F47" s="16"/>
      <c r="G47" s="16"/>
      <c r="H47" s="16"/>
      <c r="I47" s="16"/>
      <c r="J47" s="16"/>
      <c r="K47" s="16"/>
      <c r="L47" s="16"/>
      <c r="M47" s="16"/>
    </row>
    <row r="48" spans="1:13" x14ac:dyDescent="0.25">
      <c r="A48" s="16"/>
      <c r="B48" s="16"/>
      <c r="C48" s="16"/>
      <c r="D48" s="16"/>
      <c r="E48" s="16"/>
      <c r="F48" s="16"/>
      <c r="G48" s="16"/>
      <c r="H48" s="16"/>
      <c r="I48" s="16"/>
      <c r="J48" s="16"/>
      <c r="K48" s="16"/>
      <c r="L48" s="16"/>
      <c r="M48" s="16"/>
    </row>
    <row r="49" spans="1:13" x14ac:dyDescent="0.25">
      <c r="A49" s="16"/>
      <c r="B49" s="16"/>
      <c r="C49" s="16"/>
      <c r="D49" s="16"/>
      <c r="E49" s="16"/>
      <c r="F49" s="16"/>
      <c r="G49" s="16"/>
      <c r="H49" s="16"/>
      <c r="I49" s="16"/>
      <c r="J49" s="16"/>
      <c r="K49" s="16"/>
      <c r="L49" s="16"/>
      <c r="M49" s="16"/>
    </row>
    <row r="50" spans="1:13" x14ac:dyDescent="0.25">
      <c r="A50" s="16"/>
      <c r="B50" s="16"/>
      <c r="C50" s="16"/>
      <c r="D50" s="16"/>
      <c r="E50" s="16"/>
      <c r="F50" s="16"/>
      <c r="G50" s="16"/>
      <c r="H50" s="16"/>
      <c r="I50" s="16"/>
      <c r="J50" s="16"/>
      <c r="K50" s="16"/>
      <c r="L50" s="16"/>
      <c r="M50" s="16"/>
    </row>
    <row r="51" spans="1:13" x14ac:dyDescent="0.25">
      <c r="A51" s="16"/>
      <c r="B51" s="16"/>
      <c r="C51" s="16"/>
      <c r="D51" s="16"/>
      <c r="E51" s="16"/>
      <c r="F51" s="16"/>
      <c r="G51" s="16"/>
      <c r="H51" s="16"/>
      <c r="I51" s="16"/>
      <c r="J51" s="16"/>
      <c r="K51" s="16"/>
      <c r="L51" s="16"/>
      <c r="M51" s="16"/>
    </row>
    <row r="52" spans="1:13" x14ac:dyDescent="0.25">
      <c r="A52" s="16"/>
      <c r="B52" s="16"/>
      <c r="C52" s="16"/>
      <c r="D52" s="16"/>
      <c r="E52" s="16"/>
      <c r="F52" s="16"/>
      <c r="G52" s="16"/>
      <c r="H52" s="16"/>
      <c r="I52" s="16"/>
      <c r="J52" s="16"/>
      <c r="K52" s="16"/>
      <c r="L52" s="16"/>
      <c r="M52" s="16"/>
    </row>
    <row r="53" spans="1:13" x14ac:dyDescent="0.25">
      <c r="A53" s="16"/>
      <c r="B53" s="16"/>
      <c r="C53" s="16"/>
      <c r="D53" s="16"/>
      <c r="E53" s="16"/>
      <c r="F53" s="16"/>
      <c r="G53" s="16"/>
      <c r="H53" s="16"/>
      <c r="I53" s="16"/>
      <c r="J53" s="16"/>
      <c r="K53" s="16"/>
      <c r="L53" s="16"/>
      <c r="M53" s="16"/>
    </row>
    <row r="54" spans="1:13" x14ac:dyDescent="0.25">
      <c r="A54" s="16"/>
      <c r="B54" s="16"/>
      <c r="C54" s="16"/>
      <c r="D54" s="16"/>
      <c r="E54" s="16"/>
      <c r="F54" s="16"/>
      <c r="G54" s="16"/>
      <c r="H54" s="16"/>
      <c r="I54" s="16"/>
      <c r="J54" s="16"/>
      <c r="K54" s="16"/>
      <c r="L54" s="16"/>
      <c r="M54" s="16"/>
    </row>
    <row r="55" spans="1:13" x14ac:dyDescent="0.25">
      <c r="A55" s="16"/>
      <c r="B55" s="16"/>
      <c r="C55" s="16"/>
      <c r="D55" s="16"/>
      <c r="E55" s="16"/>
      <c r="F55" s="16"/>
      <c r="G55" s="16"/>
      <c r="H55" s="16"/>
      <c r="I55" s="16"/>
      <c r="J55" s="16"/>
      <c r="K55" s="16"/>
      <c r="L55" s="16"/>
      <c r="M55" s="16"/>
    </row>
    <row r="56" spans="1:13" x14ac:dyDescent="0.25">
      <c r="A56" s="16"/>
      <c r="B56" s="16"/>
      <c r="C56" s="16"/>
      <c r="D56" s="16"/>
      <c r="E56" s="16"/>
      <c r="F56" s="16"/>
      <c r="G56" s="16"/>
      <c r="H56" s="16"/>
      <c r="I56" s="16"/>
      <c r="J56" s="16"/>
      <c r="K56" s="16"/>
      <c r="L56" s="16"/>
      <c r="M56" s="16"/>
    </row>
    <row r="57" spans="1:13" x14ac:dyDescent="0.25">
      <c r="A57" s="16"/>
      <c r="B57" s="16"/>
      <c r="C57" s="16"/>
      <c r="D57" s="16"/>
      <c r="E57" s="16"/>
      <c r="F57" s="16"/>
      <c r="G57" s="16"/>
      <c r="H57" s="16"/>
      <c r="I57" s="16"/>
      <c r="J57" s="16"/>
      <c r="K57" s="16"/>
      <c r="L57" s="16"/>
      <c r="M57" s="16"/>
    </row>
    <row r="58" spans="1:13" x14ac:dyDescent="0.25">
      <c r="A58" s="16"/>
      <c r="B58" s="16"/>
      <c r="C58" s="16"/>
      <c r="D58" s="16"/>
      <c r="E58" s="16"/>
      <c r="F58" s="16"/>
      <c r="G58" s="16"/>
      <c r="H58" s="16"/>
      <c r="I58" s="16"/>
      <c r="J58" s="16"/>
      <c r="K58" s="16"/>
      <c r="L58" s="16"/>
      <c r="M58" s="16"/>
    </row>
    <row r="59" spans="1:13" x14ac:dyDescent="0.25">
      <c r="A59" s="16"/>
      <c r="B59" s="16"/>
      <c r="C59" s="16">
        <v>322824.65999999997</v>
      </c>
      <c r="D59" s="16"/>
      <c r="E59" s="16"/>
      <c r="F59" s="16"/>
      <c r="G59" s="16"/>
      <c r="H59" s="16"/>
      <c r="I59" s="16"/>
      <c r="J59" s="16"/>
      <c r="K59" s="16"/>
      <c r="L59" s="16"/>
      <c r="M59" s="16"/>
    </row>
    <row r="60" spans="1:13" x14ac:dyDescent="0.25">
      <c r="A60" s="16"/>
      <c r="B60" s="16"/>
      <c r="C60" s="16"/>
      <c r="D60" s="16"/>
      <c r="E60" s="16"/>
      <c r="F60" s="16"/>
      <c r="G60" s="16"/>
      <c r="H60" s="16"/>
      <c r="I60" s="16"/>
      <c r="J60" s="16"/>
      <c r="K60" s="16"/>
      <c r="L60" s="16"/>
      <c r="M60" s="16"/>
    </row>
    <row r="61" spans="1:13" x14ac:dyDescent="0.25">
      <c r="A61" s="16"/>
      <c r="B61" s="16"/>
      <c r="C61" s="16"/>
      <c r="D61" s="16"/>
      <c r="E61" s="16"/>
      <c r="F61" s="16"/>
      <c r="G61" s="16"/>
      <c r="H61" s="16"/>
      <c r="I61" s="16"/>
      <c r="J61" s="16"/>
      <c r="K61" s="16"/>
      <c r="L61" s="16"/>
      <c r="M61" s="16"/>
    </row>
    <row r="62" spans="1:13" x14ac:dyDescent="0.25">
      <c r="A62" s="16"/>
      <c r="B62" s="16"/>
      <c r="C62" s="16"/>
      <c r="D62" s="16"/>
      <c r="E62" s="16"/>
      <c r="F62" s="16"/>
      <c r="G62" s="16"/>
      <c r="H62" s="16"/>
      <c r="I62" s="16"/>
      <c r="J62" s="16"/>
      <c r="K62" s="16"/>
      <c r="L62" s="16"/>
      <c r="M62" s="16"/>
    </row>
    <row r="63" spans="1:13" x14ac:dyDescent="0.25">
      <c r="A63" s="16"/>
      <c r="B63" s="16"/>
      <c r="C63" s="16"/>
      <c r="D63" s="16"/>
      <c r="E63" s="16"/>
      <c r="F63" s="16"/>
      <c r="G63" s="16"/>
      <c r="H63" s="16"/>
      <c r="I63" s="16"/>
      <c r="J63" s="16"/>
      <c r="K63" s="16"/>
      <c r="L63" s="16"/>
      <c r="M63" s="16"/>
    </row>
    <row r="64" spans="1:13" x14ac:dyDescent="0.25">
      <c r="A64" s="16"/>
      <c r="B64" s="16"/>
      <c r="C64" s="16"/>
      <c r="D64" s="16"/>
      <c r="E64" s="16"/>
      <c r="F64" s="16"/>
      <c r="G64" s="16"/>
      <c r="H64" s="16"/>
      <c r="I64" s="16"/>
      <c r="J64" s="16"/>
      <c r="K64" s="16"/>
      <c r="L64" s="16"/>
      <c r="M64" s="16"/>
    </row>
    <row r="65" spans="1:13" x14ac:dyDescent="0.25">
      <c r="A65" s="16"/>
      <c r="B65" s="16"/>
      <c r="C65" s="16"/>
      <c r="D65" s="16"/>
      <c r="E65" s="16"/>
      <c r="F65" s="16"/>
      <c r="G65" s="16"/>
      <c r="H65" s="16"/>
      <c r="I65" s="16"/>
      <c r="J65" s="16"/>
      <c r="K65" s="16"/>
      <c r="L65" s="16"/>
      <c r="M65" s="16"/>
    </row>
    <row r="66" spans="1:13" x14ac:dyDescent="0.25">
      <c r="A66" s="16"/>
      <c r="B66" s="16"/>
      <c r="C66" s="16"/>
      <c r="D66" s="16"/>
      <c r="E66" s="16"/>
      <c r="F66" s="16"/>
      <c r="G66" s="16"/>
      <c r="H66" s="16"/>
      <c r="I66" s="16"/>
      <c r="J66" s="16"/>
      <c r="K66" s="16"/>
      <c r="L66" s="16"/>
      <c r="M66" s="16"/>
    </row>
    <row r="67" spans="1:13" x14ac:dyDescent="0.25">
      <c r="A67" s="16"/>
      <c r="B67" s="16"/>
      <c r="C67" s="16"/>
      <c r="D67" s="16"/>
      <c r="E67" s="16"/>
      <c r="F67" s="16"/>
      <c r="G67" s="16"/>
      <c r="H67" s="16"/>
      <c r="I67" s="16"/>
      <c r="J67" s="16"/>
      <c r="K67" s="16"/>
      <c r="L67" s="16"/>
      <c r="M67" s="16"/>
    </row>
    <row r="68" spans="1:13" x14ac:dyDescent="0.25">
      <c r="A68" s="16"/>
      <c r="B68" s="16"/>
      <c r="C68" s="16"/>
      <c r="D68" s="16"/>
      <c r="E68" s="16"/>
      <c r="F68" s="16"/>
      <c r="G68" s="16"/>
      <c r="H68" s="16"/>
      <c r="I68" s="16"/>
      <c r="J68" s="16"/>
      <c r="K68" s="16"/>
      <c r="L68" s="16"/>
      <c r="M68" s="16"/>
    </row>
    <row r="69" spans="1:13" x14ac:dyDescent="0.25">
      <c r="A69" s="16"/>
      <c r="B69" s="16"/>
      <c r="C69" s="16"/>
      <c r="D69" s="16"/>
      <c r="E69" s="16"/>
      <c r="F69" s="16"/>
      <c r="G69" s="16"/>
      <c r="H69" s="16"/>
      <c r="I69" s="16"/>
      <c r="J69" s="16"/>
      <c r="K69" s="16"/>
      <c r="L69" s="16"/>
      <c r="M69" s="16"/>
    </row>
    <row r="70" spans="1:13" x14ac:dyDescent="0.25">
      <c r="A70" s="16"/>
      <c r="B70" s="16"/>
      <c r="C70" s="16"/>
      <c r="D70" s="16"/>
      <c r="E70" s="16"/>
      <c r="F70" s="16"/>
      <c r="G70" s="16"/>
      <c r="H70" s="16"/>
      <c r="I70" s="16"/>
      <c r="J70" s="16"/>
      <c r="K70" s="16"/>
      <c r="L70" s="16"/>
      <c r="M70" s="16"/>
    </row>
    <row r="71" spans="1:13" x14ac:dyDescent="0.25">
      <c r="A71" s="16"/>
      <c r="B71" s="16"/>
      <c r="C71" s="16"/>
      <c r="D71" s="16"/>
      <c r="E71" s="16"/>
      <c r="F71" s="16"/>
      <c r="G71" s="16"/>
      <c r="H71" s="16"/>
      <c r="I71" s="16"/>
      <c r="J71" s="16"/>
      <c r="K71" s="16"/>
      <c r="L71" s="16"/>
      <c r="M71" s="16"/>
    </row>
    <row r="72" spans="1:13" x14ac:dyDescent="0.25">
      <c r="A72" s="16"/>
      <c r="B72" s="16"/>
      <c r="C72" s="16"/>
      <c r="D72" s="16"/>
      <c r="E72" s="16"/>
      <c r="F72" s="16"/>
      <c r="G72" s="16"/>
      <c r="H72" s="16"/>
      <c r="I72" s="16"/>
      <c r="J72" s="16"/>
      <c r="K72" s="16"/>
      <c r="L72" s="16"/>
      <c r="M72" s="16"/>
    </row>
    <row r="73" spans="1:13" x14ac:dyDescent="0.25">
      <c r="A73" s="16"/>
      <c r="B73" s="16"/>
      <c r="C73" s="16"/>
      <c r="D73" s="16"/>
      <c r="E73" s="16"/>
      <c r="F73" s="16"/>
      <c r="G73" s="16"/>
      <c r="H73" s="16"/>
      <c r="I73" s="16"/>
      <c r="J73" s="16"/>
      <c r="K73" s="16"/>
      <c r="L73" s="16"/>
      <c r="M73" s="16"/>
    </row>
    <row r="74" spans="1:13" x14ac:dyDescent="0.25">
      <c r="A74" s="16"/>
      <c r="B74" s="16"/>
      <c r="C74" s="16"/>
      <c r="D74" s="16"/>
      <c r="E74" s="16"/>
      <c r="F74" s="16"/>
      <c r="G74" s="16"/>
      <c r="H74" s="16"/>
      <c r="I74" s="16"/>
      <c r="J74" s="16"/>
      <c r="K74" s="16"/>
      <c r="L74" s="16"/>
      <c r="M74" s="16"/>
    </row>
    <row r="75" spans="1:13" x14ac:dyDescent="0.25">
      <c r="A75" s="16"/>
      <c r="B75" s="16"/>
      <c r="C75" s="16"/>
      <c r="D75" s="16"/>
      <c r="E75" s="16"/>
      <c r="F75" s="16"/>
      <c r="G75" s="16"/>
      <c r="H75" s="16"/>
      <c r="I75" s="16"/>
      <c r="J75" s="16"/>
      <c r="K75" s="16"/>
      <c r="L75" s="16"/>
      <c r="M75" s="16"/>
    </row>
    <row r="76" spans="1:13" x14ac:dyDescent="0.25">
      <c r="A76" s="16"/>
      <c r="B76" s="16"/>
      <c r="C76" s="16"/>
      <c r="D76" s="16"/>
      <c r="E76" s="16"/>
      <c r="F76" s="16"/>
      <c r="G76" s="16"/>
      <c r="H76" s="16"/>
      <c r="I76" s="16"/>
      <c r="J76" s="16"/>
      <c r="K76" s="16"/>
      <c r="L76" s="16"/>
      <c r="M76" s="16"/>
    </row>
    <row r="77" spans="1:13" x14ac:dyDescent="0.25">
      <c r="A77" s="16"/>
      <c r="B77" s="16"/>
      <c r="C77" s="16"/>
      <c r="D77" s="16"/>
      <c r="E77" s="16"/>
      <c r="F77" s="16"/>
      <c r="G77" s="16"/>
      <c r="H77" s="16"/>
      <c r="I77" s="16"/>
      <c r="J77" s="16"/>
      <c r="K77" s="16"/>
      <c r="L77" s="16"/>
      <c r="M77" s="16"/>
    </row>
    <row r="78" spans="1:13" x14ac:dyDescent="0.25">
      <c r="A78" s="16"/>
      <c r="B78" s="16"/>
      <c r="C78" s="16"/>
      <c r="D78" s="16"/>
      <c r="E78" s="16"/>
      <c r="F78" s="16"/>
      <c r="G78" s="16"/>
      <c r="H78" s="16"/>
      <c r="I78" s="16"/>
      <c r="J78" s="16"/>
      <c r="K78" s="16"/>
      <c r="L78" s="16"/>
      <c r="M78" s="16"/>
    </row>
    <row r="79" spans="1:13" x14ac:dyDescent="0.25">
      <c r="A79" s="16"/>
      <c r="B79" s="16"/>
      <c r="C79" s="16"/>
      <c r="D79" s="16"/>
      <c r="E79" s="16"/>
      <c r="F79" s="16"/>
      <c r="G79" s="16"/>
      <c r="H79" s="16"/>
      <c r="I79" s="16"/>
      <c r="J79" s="16"/>
      <c r="K79" s="16"/>
      <c r="L79" s="16"/>
      <c r="M79" s="16"/>
    </row>
    <row r="80" spans="1:13" x14ac:dyDescent="0.25">
      <c r="A80" s="16"/>
      <c r="B80" s="16"/>
      <c r="C80" s="16"/>
      <c r="D80" s="16"/>
      <c r="E80" s="16"/>
      <c r="F80" s="16"/>
      <c r="G80" s="16"/>
      <c r="H80" s="16"/>
      <c r="I80" s="16"/>
      <c r="J80" s="16"/>
      <c r="K80" s="16"/>
      <c r="L80" s="16"/>
      <c r="M80" s="16"/>
    </row>
    <row r="81" spans="1:13" x14ac:dyDescent="0.25">
      <c r="A81" s="16"/>
      <c r="B81" s="16"/>
      <c r="C81" s="16"/>
      <c r="D81" s="16"/>
      <c r="E81" s="16"/>
      <c r="F81" s="16"/>
      <c r="G81" s="16"/>
      <c r="H81" s="16"/>
      <c r="I81" s="16"/>
      <c r="J81" s="16"/>
      <c r="K81" s="16"/>
      <c r="L81" s="16"/>
      <c r="M81" s="16"/>
    </row>
    <row r="82" spans="1:13" ht="38.25" customHeight="1" x14ac:dyDescent="0.25">
      <c r="A82" s="16"/>
      <c r="B82" s="16"/>
      <c r="C82" s="16"/>
      <c r="D82" s="16"/>
      <c r="E82" s="16"/>
      <c r="F82" s="16"/>
      <c r="G82" s="16"/>
      <c r="H82" s="16"/>
      <c r="I82" s="16"/>
      <c r="J82" s="16"/>
      <c r="K82" s="16"/>
      <c r="L82" s="16"/>
      <c r="M82" s="16"/>
    </row>
    <row r="83" spans="1:13" x14ac:dyDescent="0.25">
      <c r="A83" s="16"/>
      <c r="B83" s="16"/>
      <c r="C83" s="16"/>
      <c r="D83" s="16"/>
      <c r="E83" s="16"/>
      <c r="F83" s="16"/>
      <c r="G83" s="16"/>
      <c r="H83" s="16"/>
      <c r="I83" s="16"/>
      <c r="J83" s="16"/>
      <c r="K83" s="16"/>
      <c r="L83" s="16"/>
      <c r="M83" s="16"/>
    </row>
    <row r="84" spans="1:13" x14ac:dyDescent="0.25">
      <c r="A84" s="16"/>
      <c r="B84" s="16"/>
      <c r="C84" s="16"/>
      <c r="D84" s="16"/>
      <c r="E84" s="16"/>
      <c r="F84" s="16"/>
      <c r="G84" s="16"/>
      <c r="H84" s="16"/>
      <c r="I84" s="16"/>
      <c r="J84" s="16"/>
      <c r="K84" s="16"/>
      <c r="L84" s="16"/>
      <c r="M84" s="16"/>
    </row>
    <row r="85" spans="1:13" x14ac:dyDescent="0.25">
      <c r="A85" s="16"/>
      <c r="B85" s="16"/>
      <c r="C85" s="16"/>
      <c r="D85" s="16"/>
      <c r="E85" s="16"/>
      <c r="F85" s="16"/>
      <c r="G85" s="16"/>
      <c r="H85" s="16"/>
      <c r="I85" s="16"/>
      <c r="J85" s="16"/>
      <c r="K85" s="16"/>
      <c r="L85" s="16"/>
      <c r="M85" s="16"/>
    </row>
    <row r="86" spans="1:13" x14ac:dyDescent="0.25">
      <c r="A86" s="16"/>
      <c r="B86" s="16"/>
      <c r="C86" s="16"/>
      <c r="D86" s="16"/>
      <c r="E86" s="16"/>
      <c r="F86" s="16"/>
      <c r="G86" s="16"/>
      <c r="H86" s="16"/>
      <c r="I86" s="16"/>
      <c r="J86" s="16"/>
      <c r="K86" s="16"/>
      <c r="L86" s="16"/>
      <c r="M86" s="16"/>
    </row>
    <row r="87" spans="1:13" x14ac:dyDescent="0.25">
      <c r="A87" s="16"/>
      <c r="B87" s="353"/>
      <c r="C87" s="16"/>
      <c r="D87" s="16"/>
      <c r="E87" s="16"/>
      <c r="F87" s="16"/>
      <c r="G87" s="16"/>
      <c r="H87" s="16"/>
      <c r="I87" s="16"/>
      <c r="J87" s="16"/>
      <c r="K87" s="16"/>
      <c r="L87" s="16"/>
      <c r="M87" s="16"/>
    </row>
    <row r="88" spans="1:13" x14ac:dyDescent="0.25">
      <c r="A88" s="16"/>
      <c r="B88" s="16"/>
      <c r="C88" s="16"/>
      <c r="D88" s="16"/>
      <c r="E88" s="16"/>
      <c r="F88" s="16"/>
      <c r="G88" s="16"/>
      <c r="H88" s="16"/>
      <c r="I88" s="16"/>
      <c r="J88" s="16"/>
      <c r="K88" s="16"/>
      <c r="L88" s="16"/>
      <c r="M88" s="16"/>
    </row>
    <row r="89" spans="1:13" x14ac:dyDescent="0.25">
      <c r="A89" s="16"/>
      <c r="B89" s="16"/>
      <c r="C89" s="16"/>
      <c r="D89" s="16"/>
      <c r="E89" s="16"/>
      <c r="F89" s="16"/>
      <c r="G89" s="16"/>
      <c r="H89" s="16"/>
      <c r="I89" s="16"/>
      <c r="J89" s="16"/>
      <c r="K89" s="16"/>
      <c r="L89" s="16"/>
      <c r="M89" s="16"/>
    </row>
    <row r="90" spans="1:13" x14ac:dyDescent="0.25">
      <c r="A90" s="16"/>
      <c r="B90" s="16"/>
      <c r="C90" s="16"/>
      <c r="D90" s="16"/>
      <c r="E90" s="16"/>
      <c r="F90" s="16"/>
      <c r="G90" s="16"/>
      <c r="H90" s="16"/>
      <c r="I90" s="16"/>
      <c r="J90" s="16"/>
      <c r="K90" s="16"/>
      <c r="L90" s="16"/>
      <c r="M90"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14" fitToHeight="0" orientation="portrait" horizontalDpi="360" verticalDpi="360" r:id="rId1"/>
  <headerFooter scaleWithDoc="0">
    <oddFooter>&amp;C&amp;"Candara,Regular"&amp;10Page &amp;"Candara,Bold"&amp;P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98"/>
  <sheetViews>
    <sheetView view="pageBreakPreview" topLeftCell="A4" zoomScale="115" zoomScaleNormal="115" zoomScaleSheetLayoutView="115" workbookViewId="0">
      <pane xSplit="2" ySplit="5" topLeftCell="C27"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 style="41" bestFit="1" customWidth="1"/>
    <col min="9" max="9" width="17.28515625" style="49" customWidth="1"/>
    <col min="10" max="10" width="11" style="41" bestFit="1" customWidth="1"/>
    <col min="11"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462</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1</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(1)</v>
      </c>
      <c r="B12" s="352" t="s">
        <v>6</v>
      </c>
      <c r="C12" s="406"/>
      <c r="D12" s="369"/>
      <c r="E12" s="406">
        <f>F12-D12</f>
        <v>1174760.4000000001</v>
      </c>
      <c r="F12" s="369">
        <v>1174760.4000000001</v>
      </c>
      <c r="G12" s="408">
        <f>H12+I12</f>
        <v>1209358.8</v>
      </c>
      <c r="H12" s="528">
        <v>1197358.8</v>
      </c>
      <c r="I12" s="49">
        <f>I14/2</f>
        <v>12000</v>
      </c>
    </row>
    <row r="13" spans="1:9" ht="15" customHeight="1" x14ac:dyDescent="0.25">
      <c r="A13" s="403" t="s">
        <v>7</v>
      </c>
      <c r="B13" s="365"/>
      <c r="C13" s="404"/>
      <c r="D13" s="366"/>
      <c r="E13" s="404"/>
      <c r="F13" s="366"/>
      <c r="G13" s="405"/>
      <c r="H13" s="16"/>
    </row>
    <row r="14" spans="1:9" ht="15" customHeight="1" x14ac:dyDescent="0.25">
      <c r="A14" s="373" t="s">
        <v>8</v>
      </c>
      <c r="B14" s="352" t="s">
        <v>9</v>
      </c>
      <c r="C14" s="406"/>
      <c r="D14" s="369"/>
      <c r="E14" s="406">
        <f t="shared" ref="E14:E19" si="0">F14-D14</f>
        <v>24000</v>
      </c>
      <c r="F14" s="369">
        <v>24000</v>
      </c>
      <c r="G14" s="369">
        <f>param_pera*CDO_PLATILLA_ITEMS*12</f>
        <v>24000</v>
      </c>
      <c r="H14" s="440"/>
      <c r="I14" s="49">
        <v>24000</v>
      </c>
    </row>
    <row r="15" spans="1:9" ht="15" customHeight="1" x14ac:dyDescent="0.25">
      <c r="A15" s="373" t="s">
        <v>11</v>
      </c>
      <c r="B15" s="352" t="s">
        <v>12</v>
      </c>
      <c r="C15" s="406"/>
      <c r="D15" s="369"/>
      <c r="E15" s="406">
        <f t="shared" si="0"/>
        <v>81000</v>
      </c>
      <c r="F15" s="369">
        <v>81000</v>
      </c>
      <c r="G15" s="369">
        <f>H15*12</f>
        <v>81000</v>
      </c>
      <c r="H15" s="440">
        <v>6750</v>
      </c>
    </row>
    <row r="16" spans="1:9" ht="15" customHeight="1" x14ac:dyDescent="0.25">
      <c r="A16" s="373" t="s">
        <v>13</v>
      </c>
      <c r="B16" s="352" t="s">
        <v>14</v>
      </c>
      <c r="C16" s="406"/>
      <c r="D16" s="369"/>
      <c r="E16" s="406">
        <f t="shared" si="0"/>
        <v>81000</v>
      </c>
      <c r="F16" s="369">
        <v>81000</v>
      </c>
      <c r="G16" s="369">
        <f>H16*12</f>
        <v>81000</v>
      </c>
      <c r="H16" s="440">
        <v>6750</v>
      </c>
    </row>
    <row r="17" spans="1:11" ht="15" customHeight="1" x14ac:dyDescent="0.25">
      <c r="A17" s="373" t="s">
        <v>15</v>
      </c>
      <c r="B17" s="352" t="s">
        <v>16</v>
      </c>
      <c r="C17" s="406"/>
      <c r="D17" s="369"/>
      <c r="E17" s="406">
        <f t="shared" si="0"/>
        <v>6000</v>
      </c>
      <c r="F17" s="369">
        <v>6000</v>
      </c>
      <c r="G17" s="369">
        <f>param_uniform*CDO_PLATILLA_ITEMS</f>
        <v>6000</v>
      </c>
      <c r="H17" s="440"/>
    </row>
    <row r="18" spans="1:11" ht="15" customHeight="1" x14ac:dyDescent="0.25">
      <c r="A18" s="373" t="s">
        <v>17</v>
      </c>
      <c r="B18" s="352" t="s">
        <v>18</v>
      </c>
      <c r="C18" s="406"/>
      <c r="D18" s="369"/>
      <c r="E18" s="406">
        <f t="shared" si="0"/>
        <v>97896.700000000012</v>
      </c>
      <c r="F18" s="369">
        <v>97896.700000000012</v>
      </c>
      <c r="G18" s="408">
        <f>H12/12+I18</f>
        <v>105779.90000000001</v>
      </c>
      <c r="H18" s="16"/>
      <c r="I18" s="49">
        <f>I14/4</f>
        <v>6000</v>
      </c>
    </row>
    <row r="19" spans="1:11" ht="15" customHeight="1" x14ac:dyDescent="0.25">
      <c r="A19" s="373" t="s">
        <v>19</v>
      </c>
      <c r="B19" s="352" t="s">
        <v>20</v>
      </c>
      <c r="C19" s="406"/>
      <c r="D19" s="369"/>
      <c r="E19" s="406">
        <f t="shared" si="0"/>
        <v>5000</v>
      </c>
      <c r="F19" s="369">
        <v>5000</v>
      </c>
      <c r="G19" s="408">
        <f>param_cash_gift*CDO_PLATILLA_ITEMS</f>
        <v>5000</v>
      </c>
      <c r="H19" s="440"/>
    </row>
    <row r="20" spans="1:11" ht="15" customHeight="1" x14ac:dyDescent="0.25">
      <c r="A20" s="403" t="s">
        <v>21</v>
      </c>
      <c r="B20" s="365"/>
      <c r="C20" s="404"/>
      <c r="D20" s="366"/>
      <c r="E20" s="404"/>
      <c r="F20" s="366"/>
      <c r="G20" s="405"/>
      <c r="H20" s="16"/>
      <c r="K20" s="41" t="s">
        <v>610</v>
      </c>
    </row>
    <row r="21" spans="1:11" ht="15" customHeight="1" x14ac:dyDescent="0.25">
      <c r="A21" s="373" t="s">
        <v>22</v>
      </c>
      <c r="B21" s="352" t="s">
        <v>23</v>
      </c>
      <c r="C21" s="406"/>
      <c r="D21" s="369"/>
      <c r="E21" s="406">
        <f t="shared" ref="E21:E24" si="1">F21-D21</f>
        <v>140971.24800000002</v>
      </c>
      <c r="F21" s="369">
        <v>140971.24800000002</v>
      </c>
      <c r="G21" s="408">
        <f>H12*12%</f>
        <v>143683.05600000001</v>
      </c>
      <c r="H21" s="16"/>
    </row>
    <row r="22" spans="1:11" ht="15" customHeight="1" x14ac:dyDescent="0.25">
      <c r="A22" s="373" t="s">
        <v>24</v>
      </c>
      <c r="B22" s="352" t="s">
        <v>25</v>
      </c>
      <c r="C22" s="406"/>
      <c r="D22" s="369"/>
      <c r="E22" s="406">
        <f t="shared" si="1"/>
        <v>1800</v>
      </c>
      <c r="F22" s="369">
        <v>1800</v>
      </c>
      <c r="G22" s="408">
        <f>param_pagibig*CDO_PLATILLA_ITEMS*12</f>
        <v>1800</v>
      </c>
      <c r="H22" s="440"/>
    </row>
    <row r="23" spans="1:11" ht="15" customHeight="1" x14ac:dyDescent="0.25">
      <c r="A23" s="373" t="s">
        <v>26</v>
      </c>
      <c r="B23" s="352" t="s">
        <v>27</v>
      </c>
      <c r="C23" s="406"/>
      <c r="D23" s="369"/>
      <c r="E23" s="406">
        <f t="shared" si="1"/>
        <v>18000</v>
      </c>
      <c r="F23" s="369">
        <v>18000</v>
      </c>
      <c r="G23" s="408">
        <f>ROUND(H23+(H23*0.1), -1)</f>
        <v>21120</v>
      </c>
      <c r="H23" s="440">
        <v>19200</v>
      </c>
    </row>
    <row r="24" spans="1:11" ht="15" customHeight="1" x14ac:dyDescent="0.25">
      <c r="A24" s="373" t="s">
        <v>28</v>
      </c>
      <c r="B24" s="352" t="s">
        <v>29</v>
      </c>
      <c r="C24" s="406"/>
      <c r="D24" s="369"/>
      <c r="E24" s="406">
        <f t="shared" si="1"/>
        <v>1800</v>
      </c>
      <c r="F24" s="369">
        <v>1800</v>
      </c>
      <c r="G24" s="408">
        <f>param_ecc*CDO_PLATILLA_ITEMS*12</f>
        <v>1800</v>
      </c>
      <c r="H24" s="440"/>
    </row>
    <row r="25" spans="1:11" ht="15" customHeight="1" x14ac:dyDescent="0.25">
      <c r="A25" s="403" t="s">
        <v>30</v>
      </c>
      <c r="B25" s="365"/>
      <c r="C25" s="404"/>
      <c r="D25" s="366"/>
      <c r="E25" s="404"/>
      <c r="F25" s="366"/>
      <c r="G25" s="405"/>
      <c r="H25" s="16"/>
    </row>
    <row r="26" spans="1:11" ht="15" customHeight="1" x14ac:dyDescent="0.25">
      <c r="A26" s="373" t="s">
        <v>30</v>
      </c>
      <c r="B26" s="352" t="s">
        <v>33</v>
      </c>
      <c r="C26" s="406"/>
      <c r="D26" s="369"/>
      <c r="E26" s="406"/>
      <c r="F26" s="369"/>
      <c r="G26" s="408"/>
      <c r="H26" s="446">
        <f>SUM(G26:G29)</f>
        <v>115779.90000000001</v>
      </c>
    </row>
    <row r="27" spans="1:11" ht="15" customHeight="1" x14ac:dyDescent="0.25">
      <c r="A27" s="434" t="s">
        <v>332</v>
      </c>
      <c r="B27" s="352"/>
      <c r="C27" s="406"/>
      <c r="D27" s="369"/>
      <c r="E27" s="406">
        <f t="shared" ref="E27:E29" si="2">F27-D27</f>
        <v>97896.700000000012</v>
      </c>
      <c r="F27" s="369">
        <v>97896.700000000012</v>
      </c>
      <c r="G27" s="408">
        <f>H12/12+I27</f>
        <v>105779.90000000001</v>
      </c>
      <c r="H27" s="16"/>
      <c r="I27" s="49">
        <f>I14/4</f>
        <v>6000</v>
      </c>
    </row>
    <row r="28" spans="1:11" ht="15" customHeight="1" x14ac:dyDescent="0.25">
      <c r="A28" s="434" t="s">
        <v>333</v>
      </c>
      <c r="B28" s="352"/>
      <c r="C28" s="406"/>
      <c r="D28" s="369"/>
      <c r="E28" s="406">
        <f t="shared" si="2"/>
        <v>5000</v>
      </c>
      <c r="F28" s="369">
        <v>5000</v>
      </c>
      <c r="G28" s="408">
        <f>param_pei*CDO_PLATILLA_ITEMS</f>
        <v>5000</v>
      </c>
      <c r="H28" s="440"/>
    </row>
    <row r="29" spans="1:11" ht="30" customHeight="1" x14ac:dyDescent="0.25">
      <c r="A29" s="441" t="s">
        <v>649</v>
      </c>
      <c r="B29" s="442"/>
      <c r="C29" s="443"/>
      <c r="D29" s="444"/>
      <c r="E29" s="443">
        <f t="shared" si="2"/>
        <v>5000</v>
      </c>
      <c r="F29" s="444">
        <v>5000</v>
      </c>
      <c r="G29" s="387">
        <f>param_pbb*CDO_PLATILLA_ITEMS</f>
        <v>5000</v>
      </c>
      <c r="H29" s="440"/>
    </row>
    <row r="30" spans="1:11" ht="15" customHeight="1" x14ac:dyDescent="0.25">
      <c r="A30" s="396" t="s">
        <v>34</v>
      </c>
      <c r="B30" s="397"/>
      <c r="C30" s="398">
        <f t="shared" ref="C30:F30" si="3">SUM(C11:C29)</f>
        <v>0</v>
      </c>
      <c r="D30" s="398">
        <f t="shared" si="3"/>
        <v>0</v>
      </c>
      <c r="E30" s="398">
        <f t="shared" si="3"/>
        <v>1740125.0480000002</v>
      </c>
      <c r="F30" s="398">
        <f t="shared" si="3"/>
        <v>1740125.0480000002</v>
      </c>
      <c r="G30" s="398">
        <f>SUM(G11:G29)</f>
        <v>1796321.656</v>
      </c>
      <c r="H30" s="446"/>
    </row>
    <row r="31" spans="1:11" ht="15" customHeight="1" x14ac:dyDescent="0.25">
      <c r="A31" s="429" t="s">
        <v>35</v>
      </c>
      <c r="B31" s="362"/>
      <c r="C31" s="430"/>
      <c r="D31" s="363"/>
      <c r="E31" s="430"/>
      <c r="F31" s="363"/>
      <c r="G31" s="431"/>
      <c r="H31" s="16"/>
    </row>
    <row r="32" spans="1:11" ht="15" customHeight="1" x14ac:dyDescent="0.25">
      <c r="A32" s="403" t="s">
        <v>55</v>
      </c>
      <c r="B32" s="365"/>
      <c r="C32" s="404"/>
      <c r="D32" s="366"/>
      <c r="E32" s="406"/>
      <c r="F32" s="366"/>
      <c r="G32" s="405"/>
      <c r="H32" s="16"/>
    </row>
    <row r="33" spans="1:10" ht="15" customHeight="1" x14ac:dyDescent="0.25">
      <c r="A33" s="373" t="s">
        <v>56</v>
      </c>
      <c r="B33" s="352" t="s">
        <v>57</v>
      </c>
      <c r="C33" s="406"/>
      <c r="D33" s="369"/>
      <c r="E33" s="406">
        <f t="shared" ref="E33" si="4">F33-D33</f>
        <v>5000</v>
      </c>
      <c r="F33" s="369">
        <v>5000</v>
      </c>
      <c r="G33" s="408">
        <v>5000</v>
      </c>
      <c r="H33" s="16"/>
    </row>
    <row r="34" spans="1:10" ht="15" customHeight="1" x14ac:dyDescent="0.25">
      <c r="A34" s="403" t="s">
        <v>58</v>
      </c>
      <c r="B34" s="365"/>
      <c r="C34" s="404"/>
      <c r="D34" s="366"/>
      <c r="E34" s="406"/>
      <c r="F34" s="366"/>
      <c r="G34" s="405"/>
      <c r="H34" s="16"/>
    </row>
    <row r="35" spans="1:10" ht="15" customHeight="1" x14ac:dyDescent="0.25">
      <c r="A35" s="373" t="s">
        <v>61</v>
      </c>
      <c r="B35" s="352" t="s">
        <v>62</v>
      </c>
      <c r="C35" s="406"/>
      <c r="D35" s="369"/>
      <c r="E35" s="406">
        <f t="shared" ref="E35:E38" si="5">F35-D35</f>
        <v>36000</v>
      </c>
      <c r="F35" s="369">
        <v>36000</v>
      </c>
      <c r="G35" s="408">
        <v>20000</v>
      </c>
      <c r="H35" s="16"/>
    </row>
    <row r="36" spans="1:10" ht="15" customHeight="1" x14ac:dyDescent="0.25">
      <c r="A36" s="373" t="s">
        <v>63</v>
      </c>
      <c r="B36" s="352" t="s">
        <v>64</v>
      </c>
      <c r="C36" s="406"/>
      <c r="D36" s="369"/>
      <c r="E36" s="406">
        <f t="shared" si="5"/>
        <v>30000</v>
      </c>
      <c r="F36" s="369">
        <v>30000</v>
      </c>
      <c r="G36" s="408">
        <v>14400</v>
      </c>
      <c r="H36" s="16"/>
    </row>
    <row r="37" spans="1:10" ht="15" customHeight="1" x14ac:dyDescent="0.25">
      <c r="A37" s="403" t="s">
        <v>79</v>
      </c>
      <c r="B37" s="365"/>
      <c r="C37" s="447"/>
      <c r="D37" s="448"/>
      <c r="E37" s="447"/>
      <c r="F37" s="448"/>
      <c r="G37" s="449"/>
      <c r="H37" s="16"/>
    </row>
    <row r="38" spans="1:10" ht="15" customHeight="1" x14ac:dyDescent="0.25">
      <c r="A38" s="472" t="s">
        <v>80</v>
      </c>
      <c r="B38" s="442" t="s">
        <v>81</v>
      </c>
      <c r="C38" s="529"/>
      <c r="D38" s="530"/>
      <c r="E38" s="408">
        <f t="shared" si="5"/>
        <v>300000</v>
      </c>
      <c r="F38" s="408">
        <v>300000</v>
      </c>
      <c r="G38" s="408">
        <v>300000</v>
      </c>
      <c r="H38" s="452">
        <v>277200</v>
      </c>
      <c r="J38" s="281"/>
    </row>
    <row r="39" spans="1:10" ht="15" customHeight="1" x14ac:dyDescent="0.25">
      <c r="A39" s="403" t="s">
        <v>42</v>
      </c>
      <c r="B39" s="365"/>
      <c r="C39" s="404"/>
      <c r="D39" s="366"/>
      <c r="E39" s="404"/>
      <c r="F39" s="366"/>
      <c r="G39" s="405"/>
      <c r="H39" s="16"/>
    </row>
    <row r="40" spans="1:10" ht="15" customHeight="1" x14ac:dyDescent="0.25">
      <c r="A40" s="373" t="s">
        <v>42</v>
      </c>
      <c r="B40" s="352" t="s">
        <v>176</v>
      </c>
      <c r="C40" s="406"/>
      <c r="D40" s="369"/>
      <c r="E40" s="406">
        <f t="shared" ref="E40" si="6">F40-D40</f>
        <v>50000</v>
      </c>
      <c r="F40" s="369">
        <v>50000</v>
      </c>
      <c r="G40" s="369">
        <v>10000</v>
      </c>
      <c r="H40" s="16"/>
    </row>
    <row r="41" spans="1:10" ht="30" customHeight="1" x14ac:dyDescent="0.25">
      <c r="A41" s="396" t="s">
        <v>86</v>
      </c>
      <c r="B41" s="397"/>
      <c r="C41" s="398">
        <f>SUM(C33:C40)</f>
        <v>0</v>
      </c>
      <c r="D41" s="398">
        <f>SUM(D33:D40)</f>
        <v>0</v>
      </c>
      <c r="E41" s="398">
        <f>SUM(E33:E40)</f>
        <v>421000</v>
      </c>
      <c r="F41" s="398">
        <f>SUM(F33:F40)</f>
        <v>421000</v>
      </c>
      <c r="G41" s="398">
        <f>SUM(G33:G40)</f>
        <v>349400</v>
      </c>
      <c r="H41" s="786">
        <v>356200</v>
      </c>
      <c r="J41" s="281"/>
    </row>
    <row r="42" spans="1:10" ht="15" customHeight="1" x14ac:dyDescent="0.25">
      <c r="A42" s="531" t="s">
        <v>88</v>
      </c>
      <c r="B42" s="531"/>
      <c r="C42" s="532"/>
      <c r="D42" s="532"/>
      <c r="E42" s="532"/>
      <c r="F42" s="532"/>
      <c r="G42" s="532">
        <v>0</v>
      </c>
      <c r="H42" s="439"/>
    </row>
    <row r="43" spans="1:10" ht="15" customHeight="1" x14ac:dyDescent="0.25">
      <c r="A43" s="396" t="s">
        <v>112</v>
      </c>
      <c r="B43" s="436"/>
      <c r="C43" s="453">
        <v>0</v>
      </c>
      <c r="D43" s="398">
        <v>0</v>
      </c>
      <c r="E43" s="398">
        <v>0</v>
      </c>
      <c r="F43" s="398">
        <v>0</v>
      </c>
      <c r="G43" s="398">
        <f>SUM(G42)</f>
        <v>0</v>
      </c>
      <c r="H43" s="16"/>
    </row>
    <row r="44" spans="1:10" ht="15" customHeight="1" x14ac:dyDescent="0.25">
      <c r="A44" s="454" t="s">
        <v>113</v>
      </c>
      <c r="B44" s="437"/>
      <c r="C44" s="455">
        <f>C30+C41+C43</f>
        <v>0</v>
      </c>
      <c r="D44" s="455">
        <f>D30+D41+D43</f>
        <v>0</v>
      </c>
      <c r="E44" s="455">
        <f>E30+E41+E43</f>
        <v>2161125.0480000004</v>
      </c>
      <c r="F44" s="455">
        <f>F30+F41+F43</f>
        <v>2161125.0480000004</v>
      </c>
      <c r="G44" s="455">
        <f>G30+G41+G43</f>
        <v>2145721.656</v>
      </c>
      <c r="H44" s="16"/>
    </row>
    <row r="45" spans="1:10" x14ac:dyDescent="0.25">
      <c r="A45" s="16"/>
      <c r="B45" s="16"/>
      <c r="C45" s="16"/>
      <c r="D45" s="16"/>
      <c r="E45" s="16"/>
      <c r="F45" s="16"/>
      <c r="G45" s="16"/>
      <c r="H45" s="16"/>
    </row>
    <row r="46" spans="1:10" x14ac:dyDescent="0.25">
      <c r="A46" s="16"/>
      <c r="B46" s="16"/>
      <c r="C46" s="16"/>
      <c r="D46" s="16"/>
      <c r="E46" s="16"/>
      <c r="F46" s="16"/>
      <c r="G46" s="16"/>
      <c r="H46" s="16"/>
    </row>
    <row r="47" spans="1:10" x14ac:dyDescent="0.25">
      <c r="A47" s="16"/>
      <c r="B47" s="16"/>
      <c r="C47" s="16"/>
      <c r="D47" s="16"/>
      <c r="E47" s="16"/>
      <c r="F47" s="16"/>
      <c r="G47" s="16"/>
      <c r="H47" s="16"/>
    </row>
    <row r="48" spans="1:10"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v>322824.65999999997</v>
      </c>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ht="38.25" customHeight="1"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353"/>
      <c r="C95" s="16"/>
      <c r="D95" s="16"/>
      <c r="E95" s="16"/>
      <c r="F95" s="16"/>
      <c r="G95" s="16"/>
      <c r="H95" s="16"/>
    </row>
    <row r="96" spans="1:8" x14ac:dyDescent="0.25">
      <c r="A96" s="16"/>
      <c r="B96" s="16"/>
      <c r="C96" s="16"/>
      <c r="D96" s="16"/>
      <c r="E96" s="16"/>
      <c r="F96" s="16"/>
      <c r="G96" s="16"/>
      <c r="H96" s="16"/>
    </row>
    <row r="97" spans="1:8" x14ac:dyDescent="0.25">
      <c r="A97" s="16"/>
      <c r="B97" s="16"/>
      <c r="C97" s="16"/>
      <c r="D97" s="16"/>
      <c r="E97" s="16"/>
      <c r="F97" s="16"/>
      <c r="G97" s="16"/>
      <c r="H97" s="16"/>
    </row>
    <row r="98" spans="1:8" x14ac:dyDescent="0.25">
      <c r="A98" s="16"/>
      <c r="B98" s="16"/>
      <c r="C98" s="16"/>
      <c r="D98" s="16"/>
      <c r="E98" s="16"/>
      <c r="F98" s="16"/>
      <c r="G98" s="16"/>
      <c r="H98"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86"/>
  <sheetViews>
    <sheetView view="pageBreakPreview" topLeftCell="A34" zoomScale="130" zoomScaleNormal="115" zoomScaleSheetLayoutView="130" workbookViewId="0">
      <selection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7" style="41" bestFit="1" customWidth="1"/>
    <col min="9" max="9" width="20.71093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172</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6">
        <v>7</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(7)</v>
      </c>
      <c r="B12" s="352" t="s">
        <v>6</v>
      </c>
      <c r="C12" s="406">
        <v>2813297.6</v>
      </c>
      <c r="D12" s="369">
        <v>1446174</v>
      </c>
      <c r="E12" s="406">
        <f>F12-D12</f>
        <v>2225010</v>
      </c>
      <c r="F12" s="369">
        <v>3671184</v>
      </c>
      <c r="G12" s="408">
        <f>H12+I12</f>
        <v>3870010.8000000007</v>
      </c>
      <c r="H12" s="438">
        <v>3786010.8000000007</v>
      </c>
      <c r="I12" s="49">
        <f>I14/2</f>
        <v>84000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120000</v>
      </c>
      <c r="D14" s="369">
        <v>60000</v>
      </c>
      <c r="E14" s="406">
        <f t="shared" ref="E14:E19" si="0">F14-D14</f>
        <v>108000</v>
      </c>
      <c r="F14" s="369">
        <v>168000</v>
      </c>
      <c r="G14" s="408">
        <f>param_pera*CDRRMO_PLATILLA_ITEMS*12</f>
        <v>168000</v>
      </c>
      <c r="H14" s="440"/>
      <c r="I14" s="49">
        <v>168000</v>
      </c>
    </row>
    <row r="15" spans="1:9" ht="15" customHeight="1" x14ac:dyDescent="0.25">
      <c r="A15" s="373" t="s">
        <v>11</v>
      </c>
      <c r="B15" s="352" t="s">
        <v>12</v>
      </c>
      <c r="C15" s="406">
        <v>209250</v>
      </c>
      <c r="D15" s="369">
        <v>108000</v>
      </c>
      <c r="E15" s="406">
        <f t="shared" si="0"/>
        <v>27000</v>
      </c>
      <c r="F15" s="369">
        <v>135000</v>
      </c>
      <c r="G15" s="408">
        <f>H15*12</f>
        <v>216000</v>
      </c>
      <c r="H15" s="440">
        <f>11250+6750</f>
        <v>18000</v>
      </c>
    </row>
    <row r="16" spans="1:9" ht="15" customHeight="1" x14ac:dyDescent="0.25">
      <c r="A16" s="373" t="s">
        <v>13</v>
      </c>
      <c r="B16" s="352" t="s">
        <v>14</v>
      </c>
      <c r="C16" s="406">
        <v>209250</v>
      </c>
      <c r="D16" s="369">
        <v>108000</v>
      </c>
      <c r="E16" s="406">
        <f t="shared" si="0"/>
        <v>27000</v>
      </c>
      <c r="F16" s="369">
        <v>135000</v>
      </c>
      <c r="G16" s="408">
        <f>H16*12</f>
        <v>216000</v>
      </c>
      <c r="H16" s="440">
        <f>11250+6750</f>
        <v>18000</v>
      </c>
    </row>
    <row r="17" spans="1:11" ht="15" customHeight="1" x14ac:dyDescent="0.25">
      <c r="A17" s="373" t="s">
        <v>15</v>
      </c>
      <c r="B17" s="352" t="s">
        <v>16</v>
      </c>
      <c r="C17" s="406">
        <v>30000</v>
      </c>
      <c r="D17" s="369">
        <v>30000</v>
      </c>
      <c r="E17" s="406">
        <f t="shared" si="0"/>
        <v>12000</v>
      </c>
      <c r="F17" s="369">
        <v>42000</v>
      </c>
      <c r="G17" s="408">
        <f>param_uniform*CDRRMO_PLATILLA_ITEMS</f>
        <v>42000</v>
      </c>
      <c r="H17" s="440"/>
    </row>
    <row r="18" spans="1:11" ht="15" customHeight="1" x14ac:dyDescent="0.25">
      <c r="A18" s="373" t="s">
        <v>17</v>
      </c>
      <c r="B18" s="352" t="s">
        <v>18</v>
      </c>
      <c r="C18" s="406">
        <v>234993</v>
      </c>
      <c r="D18" s="369"/>
      <c r="E18" s="406">
        <f t="shared" si="0"/>
        <v>305932</v>
      </c>
      <c r="F18" s="369">
        <v>305932</v>
      </c>
      <c r="G18" s="408">
        <f>H12/12+I18</f>
        <v>357500.90000000008</v>
      </c>
      <c r="H18" s="16"/>
      <c r="I18" s="49">
        <f>I14/4</f>
        <v>42000</v>
      </c>
    </row>
    <row r="19" spans="1:11" ht="15" customHeight="1" x14ac:dyDescent="0.25">
      <c r="A19" s="373" t="s">
        <v>19</v>
      </c>
      <c r="B19" s="352" t="s">
        <v>20</v>
      </c>
      <c r="C19" s="406">
        <v>25000</v>
      </c>
      <c r="D19" s="369"/>
      <c r="E19" s="406">
        <f t="shared" si="0"/>
        <v>35000</v>
      </c>
      <c r="F19" s="369">
        <v>35000</v>
      </c>
      <c r="G19" s="408">
        <f>param_cash_gift*CDRRMO_PLATILLA_ITEMS</f>
        <v>35000</v>
      </c>
      <c r="H19" s="440"/>
    </row>
    <row r="20" spans="1:11" ht="15" customHeight="1" x14ac:dyDescent="0.25">
      <c r="A20" s="403" t="s">
        <v>21</v>
      </c>
      <c r="B20" s="365"/>
      <c r="C20" s="404"/>
      <c r="D20" s="366"/>
      <c r="E20" s="404"/>
      <c r="F20" s="366"/>
      <c r="G20" s="405"/>
      <c r="H20" s="16"/>
      <c r="K20" s="41" t="s">
        <v>610</v>
      </c>
    </row>
    <row r="21" spans="1:11" ht="15" customHeight="1" x14ac:dyDescent="0.25">
      <c r="A21" s="373" t="s">
        <v>22</v>
      </c>
      <c r="B21" s="352" t="s">
        <v>23</v>
      </c>
      <c r="C21" s="406">
        <v>337595.75</v>
      </c>
      <c r="D21" s="369">
        <v>173540.88</v>
      </c>
      <c r="E21" s="406">
        <f t="shared" ref="E21:E24" si="1">F21-D21</f>
        <v>267001.19999999995</v>
      </c>
      <c r="F21" s="369">
        <v>440542.07999999996</v>
      </c>
      <c r="G21" s="408">
        <f>H12*12%</f>
        <v>454321.29600000009</v>
      </c>
      <c r="H21" s="16"/>
    </row>
    <row r="22" spans="1:11" ht="15" customHeight="1" x14ac:dyDescent="0.25">
      <c r="A22" s="373" t="s">
        <v>24</v>
      </c>
      <c r="B22" s="352" t="s">
        <v>25</v>
      </c>
      <c r="C22" s="406">
        <v>6000</v>
      </c>
      <c r="D22" s="369">
        <v>3000</v>
      </c>
      <c r="E22" s="406">
        <f t="shared" si="1"/>
        <v>9600</v>
      </c>
      <c r="F22" s="369">
        <v>12600</v>
      </c>
      <c r="G22" s="408">
        <f>param_pagibig*CDRRMO_PLATILLA_ITEMS*12</f>
        <v>12600</v>
      </c>
      <c r="H22" s="16"/>
    </row>
    <row r="23" spans="1:11" ht="15" customHeight="1" x14ac:dyDescent="0.25">
      <c r="A23" s="373" t="s">
        <v>26</v>
      </c>
      <c r="B23" s="352" t="s">
        <v>27</v>
      </c>
      <c r="C23" s="406">
        <v>34530.959999999999</v>
      </c>
      <c r="D23" s="369">
        <v>27239.200000000001</v>
      </c>
      <c r="E23" s="406">
        <f t="shared" si="1"/>
        <v>52760.800000000003</v>
      </c>
      <c r="F23" s="369">
        <v>80000</v>
      </c>
      <c r="G23" s="408">
        <f>ROUND(H23+(H23*0.1), -1)</f>
        <v>63910</v>
      </c>
      <c r="H23" s="402">
        <v>58096.175999999999</v>
      </c>
    </row>
    <row r="24" spans="1:11" ht="15" customHeight="1" x14ac:dyDescent="0.25">
      <c r="A24" s="373" t="s">
        <v>28</v>
      </c>
      <c r="B24" s="352" t="s">
        <v>29</v>
      </c>
      <c r="C24" s="406">
        <v>6000</v>
      </c>
      <c r="D24" s="369">
        <v>3000</v>
      </c>
      <c r="E24" s="406">
        <f t="shared" si="1"/>
        <v>9600</v>
      </c>
      <c r="F24" s="369">
        <v>12600</v>
      </c>
      <c r="G24" s="408">
        <f>param_ecc*CDRRMO_PLATILLA_ITEMS*12</f>
        <v>12600</v>
      </c>
      <c r="H24" s="16"/>
    </row>
    <row r="25" spans="1:11" ht="15" customHeight="1" x14ac:dyDescent="0.25">
      <c r="A25" s="403" t="s">
        <v>30</v>
      </c>
      <c r="B25" s="365"/>
      <c r="C25" s="404"/>
      <c r="D25" s="366"/>
      <c r="E25" s="404"/>
      <c r="F25" s="366"/>
      <c r="G25" s="405"/>
      <c r="H25" s="16"/>
    </row>
    <row r="26" spans="1:11" ht="15" customHeight="1" x14ac:dyDescent="0.25">
      <c r="A26" s="373" t="s">
        <v>30</v>
      </c>
      <c r="B26" s="352" t="s">
        <v>33</v>
      </c>
      <c r="C26" s="406"/>
      <c r="D26" s="369"/>
      <c r="E26" s="406"/>
      <c r="F26" s="369"/>
      <c r="G26" s="408"/>
      <c r="H26" s="446">
        <f>SUM(G26:G32)</f>
        <v>427500.90000000008</v>
      </c>
    </row>
    <row r="27" spans="1:11" ht="15" customHeight="1" x14ac:dyDescent="0.25">
      <c r="A27" s="434" t="s">
        <v>332</v>
      </c>
      <c r="B27" s="352"/>
      <c r="C27" s="406">
        <v>234391</v>
      </c>
      <c r="D27" s="369">
        <v>241029</v>
      </c>
      <c r="E27" s="406">
        <f t="shared" ref="E27:E29" si="2">F27-D27</f>
        <v>64903</v>
      </c>
      <c r="F27" s="369">
        <v>305932</v>
      </c>
      <c r="G27" s="408">
        <f>H12/12+I27</f>
        <v>357500.90000000008</v>
      </c>
      <c r="H27" s="16"/>
      <c r="I27" s="49">
        <f>I14/4</f>
        <v>42000</v>
      </c>
    </row>
    <row r="28" spans="1:11" ht="15" customHeight="1" x14ac:dyDescent="0.25">
      <c r="A28" s="434" t="s">
        <v>333</v>
      </c>
      <c r="B28" s="352"/>
      <c r="C28" s="406">
        <v>25000</v>
      </c>
      <c r="D28" s="369"/>
      <c r="E28" s="406">
        <f t="shared" si="2"/>
        <v>35000</v>
      </c>
      <c r="F28" s="369">
        <v>35000</v>
      </c>
      <c r="G28" s="408">
        <f>param_pei*CDRRMO_PLATILLA_ITEMS</f>
        <v>35000</v>
      </c>
      <c r="H28" s="402"/>
    </row>
    <row r="29" spans="1:11" ht="30" customHeight="1" x14ac:dyDescent="0.25">
      <c r="A29" s="434" t="s">
        <v>649</v>
      </c>
      <c r="B29" s="352"/>
      <c r="C29" s="406"/>
      <c r="D29" s="369"/>
      <c r="E29" s="406">
        <f t="shared" si="2"/>
        <v>35000</v>
      </c>
      <c r="F29" s="369">
        <v>35000</v>
      </c>
      <c r="G29" s="408">
        <f>param_pbb*CDRRMO_PLATILLA_ITEMS</f>
        <v>35000</v>
      </c>
      <c r="H29" s="402"/>
    </row>
    <row r="30" spans="1:11" ht="15" customHeight="1" x14ac:dyDescent="0.25">
      <c r="A30" s="513" t="s">
        <v>650</v>
      </c>
      <c r="B30" s="479"/>
      <c r="C30" s="381">
        <v>125000</v>
      </c>
      <c r="D30" s="381"/>
      <c r="E30" s="381"/>
      <c r="F30" s="381"/>
      <c r="G30" s="381"/>
      <c r="H30" s="375"/>
    </row>
    <row r="31" spans="1:11" ht="15" customHeight="1" x14ac:dyDescent="0.25">
      <c r="A31" s="376" t="s">
        <v>652</v>
      </c>
      <c r="B31" s="352"/>
      <c r="C31" s="369"/>
      <c r="D31" s="369"/>
      <c r="E31" s="369"/>
      <c r="F31" s="369"/>
      <c r="G31" s="369"/>
      <c r="H31" s="375"/>
    </row>
    <row r="32" spans="1:11" ht="15" customHeight="1" x14ac:dyDescent="0.25">
      <c r="A32" s="378" t="s">
        <v>653</v>
      </c>
      <c r="B32" s="379"/>
      <c r="C32" s="380">
        <v>50000</v>
      </c>
      <c r="D32" s="380"/>
      <c r="E32" s="381"/>
      <c r="F32" s="380"/>
      <c r="G32" s="380"/>
      <c r="H32" s="375"/>
    </row>
    <row r="33" spans="1:8" ht="15" customHeight="1" x14ac:dyDescent="0.25">
      <c r="A33" s="396" t="s">
        <v>34</v>
      </c>
      <c r="B33" s="397"/>
      <c r="C33" s="398">
        <f>SUM(C11:C32)</f>
        <v>4460308.3100000005</v>
      </c>
      <c r="D33" s="398">
        <f t="shared" ref="D33:F33" si="3">SUM(D11:D32)</f>
        <v>2199983.08</v>
      </c>
      <c r="E33" s="398">
        <f t="shared" si="3"/>
        <v>3213807</v>
      </c>
      <c r="F33" s="398">
        <f t="shared" si="3"/>
        <v>5413790.0800000001</v>
      </c>
      <c r="G33" s="398">
        <f>SUM(G11:G32)</f>
        <v>5875443.8960000016</v>
      </c>
      <c r="H33" s="446"/>
    </row>
    <row r="34" spans="1:8" ht="15" customHeight="1" x14ac:dyDescent="0.25">
      <c r="A34" s="429" t="s">
        <v>35</v>
      </c>
      <c r="B34" s="362"/>
      <c r="C34" s="430"/>
      <c r="D34" s="363"/>
      <c r="E34" s="430"/>
      <c r="F34" s="525"/>
      <c r="G34" s="526"/>
      <c r="H34" s="519"/>
    </row>
    <row r="35" spans="1:8" ht="15" customHeight="1" x14ac:dyDescent="0.25">
      <c r="A35" s="403" t="s">
        <v>50</v>
      </c>
      <c r="B35" s="365"/>
      <c r="C35" s="404"/>
      <c r="D35" s="366"/>
      <c r="E35" s="406"/>
      <c r="F35" s="366"/>
      <c r="G35" s="366"/>
      <c r="H35" s="16"/>
    </row>
    <row r="36" spans="1:8" ht="15" customHeight="1" x14ac:dyDescent="0.25">
      <c r="A36" s="373" t="s">
        <v>139</v>
      </c>
      <c r="B36" s="352" t="s">
        <v>138</v>
      </c>
      <c r="C36" s="406"/>
      <c r="D36" s="369">
        <v>9455.25</v>
      </c>
      <c r="E36" s="406">
        <f>F36-D36</f>
        <v>40544.75</v>
      </c>
      <c r="F36" s="369">
        <v>50000</v>
      </c>
      <c r="G36" s="369"/>
      <c r="H36" s="16"/>
    </row>
    <row r="37" spans="1:8" ht="15" customHeight="1" x14ac:dyDescent="0.25">
      <c r="A37" s="403" t="s">
        <v>55</v>
      </c>
      <c r="B37" s="365"/>
      <c r="C37" s="404"/>
      <c r="D37" s="366"/>
      <c r="E37" s="406"/>
      <c r="F37" s="366"/>
      <c r="G37" s="366"/>
      <c r="H37" s="16"/>
    </row>
    <row r="38" spans="1:8" ht="15" customHeight="1" x14ac:dyDescent="0.25">
      <c r="A38" s="373" t="s">
        <v>56</v>
      </c>
      <c r="B38" s="352" t="s">
        <v>57</v>
      </c>
      <c r="C38" s="406">
        <v>9425</v>
      </c>
      <c r="D38" s="369">
        <v>10625</v>
      </c>
      <c r="E38" s="406">
        <f>F38-D38</f>
        <v>19375</v>
      </c>
      <c r="F38" s="369">
        <v>30000</v>
      </c>
      <c r="G38" s="369">
        <v>24000</v>
      </c>
      <c r="H38" s="16"/>
    </row>
    <row r="39" spans="1:8" ht="15" customHeight="1" x14ac:dyDescent="0.25">
      <c r="A39" s="403" t="s">
        <v>58</v>
      </c>
      <c r="B39" s="365"/>
      <c r="C39" s="404"/>
      <c r="D39" s="366"/>
      <c r="E39" s="406"/>
      <c r="F39" s="366"/>
      <c r="G39" s="366"/>
      <c r="H39" s="16"/>
    </row>
    <row r="40" spans="1:8" ht="15" customHeight="1" x14ac:dyDescent="0.25">
      <c r="A40" s="373" t="s">
        <v>61</v>
      </c>
      <c r="B40" s="352" t="s">
        <v>62</v>
      </c>
      <c r="C40" s="406">
        <v>21765.91</v>
      </c>
      <c r="D40" s="369">
        <v>13585.93</v>
      </c>
      <c r="E40" s="406">
        <f>F40-D40</f>
        <v>22414.07</v>
      </c>
      <c r="F40" s="369">
        <v>36000</v>
      </c>
      <c r="G40" s="369">
        <v>36000</v>
      </c>
      <c r="H40" s="523">
        <v>36000</v>
      </c>
    </row>
    <row r="41" spans="1:8" ht="15" customHeight="1" x14ac:dyDescent="0.25">
      <c r="A41" s="373" t="s">
        <v>63</v>
      </c>
      <c r="B41" s="352" t="s">
        <v>64</v>
      </c>
      <c r="C41" s="406">
        <v>31139.56</v>
      </c>
      <c r="D41" s="369">
        <v>20863.509999999998</v>
      </c>
      <c r="E41" s="406">
        <f>F41-D41</f>
        <v>79136.490000000005</v>
      </c>
      <c r="F41" s="369">
        <v>100000</v>
      </c>
      <c r="G41" s="408">
        <v>25000</v>
      </c>
      <c r="H41" s="16"/>
    </row>
    <row r="42" spans="1:8" ht="15" customHeight="1" x14ac:dyDescent="0.25">
      <c r="A42" s="403" t="s">
        <v>79</v>
      </c>
      <c r="B42" s="365"/>
      <c r="C42" s="404"/>
      <c r="D42" s="366"/>
      <c r="E42" s="406"/>
      <c r="F42" s="366"/>
      <c r="G42" s="405"/>
      <c r="H42" s="16"/>
    </row>
    <row r="43" spans="1:8" ht="15" customHeight="1" x14ac:dyDescent="0.25">
      <c r="A43" s="373" t="s">
        <v>80</v>
      </c>
      <c r="B43" s="352" t="s">
        <v>81</v>
      </c>
      <c r="C43" s="406">
        <v>3990190</v>
      </c>
      <c r="D43" s="369">
        <v>2023300</v>
      </c>
      <c r="E43" s="406">
        <f>F43-D43</f>
        <v>2196700</v>
      </c>
      <c r="F43" s="369">
        <v>4220000</v>
      </c>
      <c r="G43" s="408">
        <v>5039120</v>
      </c>
      <c r="H43" s="16"/>
    </row>
    <row r="44" spans="1:8" ht="15" customHeight="1" x14ac:dyDescent="0.25">
      <c r="A44" s="403" t="s">
        <v>42</v>
      </c>
      <c r="B44" s="365"/>
      <c r="C44" s="404"/>
      <c r="D44" s="366"/>
      <c r="E44" s="404"/>
      <c r="F44" s="366"/>
      <c r="G44" s="405"/>
      <c r="H44" s="16"/>
    </row>
    <row r="45" spans="1:8" ht="15" customHeight="1" x14ac:dyDescent="0.25">
      <c r="A45" s="373" t="s">
        <v>42</v>
      </c>
      <c r="B45" s="352" t="s">
        <v>176</v>
      </c>
      <c r="C45" s="406">
        <v>19220.5</v>
      </c>
      <c r="D45" s="369">
        <v>16898.05</v>
      </c>
      <c r="E45" s="406">
        <f>F45-D45</f>
        <v>33101.949999999997</v>
      </c>
      <c r="F45" s="369">
        <v>50000</v>
      </c>
      <c r="G45" s="369">
        <v>50000</v>
      </c>
      <c r="H45" s="16"/>
    </row>
    <row r="46" spans="1:8" ht="30" customHeight="1" x14ac:dyDescent="0.25">
      <c r="A46" s="396" t="s">
        <v>86</v>
      </c>
      <c r="B46" s="397"/>
      <c r="C46" s="398">
        <f>SUM(C36:C45)</f>
        <v>4071740.97</v>
      </c>
      <c r="D46" s="398">
        <f>SUM(D36:D45)</f>
        <v>2094727.74</v>
      </c>
      <c r="E46" s="398">
        <f>SUM(E36:E45)</f>
        <v>2391272.2600000002</v>
      </c>
      <c r="F46" s="398">
        <f>SUM(F36:F45)</f>
        <v>4486000</v>
      </c>
      <c r="G46" s="398">
        <f>SUM(G36:G45)</f>
        <v>5174120</v>
      </c>
      <c r="H46" s="786">
        <v>5093120</v>
      </c>
    </row>
    <row r="47" spans="1:8" ht="15" customHeight="1" x14ac:dyDescent="0.25">
      <c r="A47" s="424" t="s">
        <v>88</v>
      </c>
      <c r="B47" s="425"/>
      <c r="C47" s="426"/>
      <c r="D47" s="427"/>
      <c r="E47" s="426"/>
      <c r="F47" s="427"/>
      <c r="G47" s="428">
        <v>0</v>
      </c>
      <c r="H47" s="439"/>
    </row>
    <row r="48" spans="1:8" ht="15" customHeight="1" x14ac:dyDescent="0.25">
      <c r="A48" s="396" t="s">
        <v>112</v>
      </c>
      <c r="B48" s="436"/>
      <c r="C48" s="398">
        <v>0</v>
      </c>
      <c r="D48" s="398">
        <v>0</v>
      </c>
      <c r="E48" s="398">
        <v>0</v>
      </c>
      <c r="F48" s="398">
        <v>0</v>
      </c>
      <c r="G48" s="398">
        <f>SUM(G47)</f>
        <v>0</v>
      </c>
      <c r="H48" s="16"/>
    </row>
    <row r="49" spans="1:8" ht="15" customHeight="1" x14ac:dyDescent="0.25">
      <c r="A49" s="419" t="s">
        <v>113</v>
      </c>
      <c r="B49" s="437"/>
      <c r="C49" s="421">
        <f>C33+C46+C48</f>
        <v>8532049.2800000012</v>
      </c>
      <c r="D49" s="421">
        <f>D33+D46+D48</f>
        <v>4294710.82</v>
      </c>
      <c r="E49" s="421">
        <f>E33+E46+E48</f>
        <v>5605079.2599999998</v>
      </c>
      <c r="F49" s="421">
        <f>F33+F46+F48</f>
        <v>9899790.0800000001</v>
      </c>
      <c r="G49" s="421">
        <f>G33+G46+G48</f>
        <v>11049563.896000002</v>
      </c>
      <c r="H49" s="16"/>
    </row>
    <row r="50" spans="1:8" x14ac:dyDescent="0.25">
      <c r="A50" s="16"/>
      <c r="B50" s="16"/>
      <c r="C50" s="16"/>
      <c r="D50" s="16"/>
      <c r="E50" s="16"/>
      <c r="F50" s="527"/>
      <c r="G50" s="527"/>
      <c r="H50" s="16"/>
    </row>
    <row r="51" spans="1:8" x14ac:dyDescent="0.25">
      <c r="A51" s="16"/>
      <c r="B51" s="16"/>
      <c r="C51" s="16"/>
      <c r="D51" s="16"/>
      <c r="E51" s="16"/>
      <c r="F51" s="411"/>
      <c r="G51" s="411"/>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ht="38.25" customHeight="1"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353"/>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136"/>
  <sheetViews>
    <sheetView view="pageBreakPreview" zoomScale="85" zoomScaleNormal="100" zoomScaleSheetLayoutView="85" workbookViewId="0">
      <pane xSplit="2" ySplit="3" topLeftCell="C14"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21" x14ac:dyDescent="0.35"/>
  <cols>
    <col min="1" max="1" width="5" style="4" customWidth="1"/>
    <col min="2" max="2" width="32.5703125" style="5" customWidth="1"/>
    <col min="3" max="3" width="11" style="5" customWidth="1"/>
    <col min="4" max="7" width="20.7109375" style="5" customWidth="1"/>
    <col min="8" max="8" width="30.140625" style="5" customWidth="1"/>
    <col min="9" max="9" width="34.140625" customWidth="1"/>
    <col min="10" max="10" width="32.28515625" bestFit="1" customWidth="1"/>
    <col min="11" max="11" width="39.28515625" style="36" customWidth="1"/>
    <col min="12" max="12" width="26.28515625" style="36" customWidth="1"/>
    <col min="13" max="13" width="26.140625" style="36" bestFit="1" customWidth="1"/>
    <col min="14" max="14" width="32.42578125" style="36" customWidth="1"/>
    <col min="15" max="15" width="16.28515625" style="36" bestFit="1" customWidth="1"/>
    <col min="16" max="16" width="10.140625" style="36" bestFit="1" customWidth="1"/>
    <col min="17" max="17" width="16.28515625" bestFit="1" customWidth="1"/>
  </cols>
  <sheetData>
    <row r="1" spans="1:16" ht="46.5" x14ac:dyDescent="0.7">
      <c r="A1" s="1078" t="s">
        <v>841</v>
      </c>
      <c r="B1" s="1078"/>
      <c r="C1" s="1078"/>
      <c r="D1" s="1078"/>
      <c r="E1" s="1078"/>
      <c r="F1" s="1078"/>
      <c r="G1" s="1078"/>
      <c r="H1" s="1078"/>
      <c r="I1" s="36"/>
      <c r="K1"/>
      <c r="L1"/>
      <c r="M1"/>
      <c r="N1"/>
      <c r="O1"/>
      <c r="P1"/>
    </row>
    <row r="2" spans="1:16" ht="31.5" customHeight="1" x14ac:dyDescent="0.35">
      <c r="B2" s="1079"/>
      <c r="C2" s="1079"/>
      <c r="D2" s="1079"/>
      <c r="E2" s="1079"/>
      <c r="F2" s="1079"/>
      <c r="G2" s="1079"/>
      <c r="H2" s="1079"/>
      <c r="I2" s="36"/>
      <c r="K2"/>
      <c r="L2"/>
      <c r="M2"/>
      <c r="N2"/>
      <c r="O2"/>
      <c r="P2"/>
    </row>
    <row r="3" spans="1:16" s="6" customFormat="1" x14ac:dyDescent="0.3">
      <c r="A3" s="267"/>
      <c r="B3" s="268" t="s">
        <v>852</v>
      </c>
      <c r="C3" s="269"/>
      <c r="D3" s="270" t="s">
        <v>246</v>
      </c>
      <c r="E3" s="269" t="s">
        <v>247</v>
      </c>
      <c r="F3" s="270" t="s">
        <v>248</v>
      </c>
      <c r="G3" s="269" t="s">
        <v>295</v>
      </c>
      <c r="H3" s="270" t="s">
        <v>245</v>
      </c>
      <c r="I3" s="37"/>
    </row>
    <row r="4" spans="1:16" x14ac:dyDescent="0.35">
      <c r="A4" s="261">
        <v>1</v>
      </c>
      <c r="B4" s="262" t="s">
        <v>249</v>
      </c>
      <c r="C4" s="263">
        <f>CMO_PLATILLA_ITEMS</f>
        <v>17</v>
      </c>
      <c r="D4" s="264">
        <f>CMO_PS</f>
        <v>36338871.121999994</v>
      </c>
      <c r="E4" s="265">
        <f>CMO_MOOE</f>
        <v>57207023.6866</v>
      </c>
      <c r="F4" s="264">
        <f>CMO_CO</f>
        <v>0</v>
      </c>
      <c r="G4" s="265"/>
      <c r="H4" s="266">
        <f>SUM(D4:G4)</f>
        <v>93545894.808599994</v>
      </c>
      <c r="I4" s="38"/>
      <c r="K4"/>
      <c r="L4"/>
      <c r="M4"/>
      <c r="N4"/>
      <c r="O4"/>
      <c r="P4"/>
    </row>
    <row r="5" spans="1:16" ht="37.5" x14ac:dyDescent="0.35">
      <c r="A5" s="249">
        <f>A4+1</f>
        <v>2</v>
      </c>
      <c r="B5" s="251" t="s">
        <v>250</v>
      </c>
      <c r="C5" s="253"/>
      <c r="D5" s="256">
        <f>BAC_PS</f>
        <v>0</v>
      </c>
      <c r="E5" s="258">
        <f>BAC_MOOE</f>
        <v>91000</v>
      </c>
      <c r="F5" s="256">
        <f>'BAC-BAC'!G24</f>
        <v>0</v>
      </c>
      <c r="G5" s="258"/>
      <c r="H5" s="266">
        <f t="shared" ref="H5:H39" si="0">SUM(D5:G5)</f>
        <v>91000</v>
      </c>
      <c r="I5" s="38"/>
      <c r="K5"/>
      <c r="L5"/>
      <c r="M5"/>
      <c r="N5"/>
      <c r="O5"/>
      <c r="P5"/>
    </row>
    <row r="6" spans="1:16" ht="37.5" x14ac:dyDescent="0.35">
      <c r="A6" s="628">
        <f t="shared" ref="A6:A35" si="1">A5+1</f>
        <v>3</v>
      </c>
      <c r="B6" s="629" t="s">
        <v>251</v>
      </c>
      <c r="C6" s="630">
        <f>'1031-ADMIN'!ADMIN_PLATILLA_ITEMS</f>
        <v>6</v>
      </c>
      <c r="D6" s="631">
        <f>'1031-ADMIN'!ADMIN_PS</f>
        <v>3325351.9493333334</v>
      </c>
      <c r="E6" s="632">
        <f>'1031-ADMIN'!ADMIN_MOOE</f>
        <v>3306000</v>
      </c>
      <c r="F6" s="631">
        <f>'1031-ADMIN'!ADMIN_CO</f>
        <v>0</v>
      </c>
      <c r="G6" s="632"/>
      <c r="H6" s="633">
        <f t="shared" si="0"/>
        <v>6631351.9493333334</v>
      </c>
      <c r="I6" s="634"/>
      <c r="J6" s="16"/>
      <c r="K6" s="16"/>
      <c r="L6" s="16"/>
      <c r="M6" s="16"/>
      <c r="N6"/>
      <c r="O6"/>
      <c r="P6"/>
    </row>
    <row r="7" spans="1:16" s="3" customFormat="1" ht="21" customHeight="1" x14ac:dyDescent="0.35">
      <c r="A7" s="635">
        <f t="shared" si="1"/>
        <v>4</v>
      </c>
      <c r="B7" s="636" t="s">
        <v>252</v>
      </c>
      <c r="C7" s="637">
        <f>CVMO_PLATILLA_ITEMS</f>
        <v>13</v>
      </c>
      <c r="D7" s="638">
        <f>CVMO_PS</f>
        <v>8187051.9760000007</v>
      </c>
      <c r="E7" s="639">
        <f>CVMO_MOOE</f>
        <v>14540000</v>
      </c>
      <c r="F7" s="638">
        <f>CVMO_CO</f>
        <v>2930000</v>
      </c>
      <c r="G7" s="639"/>
      <c r="H7" s="633">
        <f t="shared" si="0"/>
        <v>25657051.976</v>
      </c>
      <c r="I7" s="634"/>
      <c r="J7" s="411"/>
      <c r="K7" s="411"/>
      <c r="L7" s="411"/>
      <c r="M7" s="411"/>
    </row>
    <row r="8" spans="1:16" ht="37.5" customHeight="1" x14ac:dyDescent="0.35">
      <c r="A8" s="628">
        <f t="shared" si="1"/>
        <v>5</v>
      </c>
      <c r="B8" s="629" t="s">
        <v>253</v>
      </c>
      <c r="C8" s="630">
        <f>SP_PLATILLA_ITEMS</f>
        <v>28</v>
      </c>
      <c r="D8" s="631">
        <f>SP_PS</f>
        <v>40049273.400000006</v>
      </c>
      <c r="E8" s="632">
        <f>SP_MOOE</f>
        <v>41973792.969999999</v>
      </c>
      <c r="F8" s="631">
        <f>SP_CO</f>
        <v>0</v>
      </c>
      <c r="G8" s="632"/>
      <c r="H8" s="633">
        <f t="shared" si="0"/>
        <v>82023066.370000005</v>
      </c>
      <c r="I8" s="634"/>
      <c r="J8" s="16"/>
      <c r="K8" s="16"/>
      <c r="L8" s="16"/>
      <c r="M8" s="16"/>
      <c r="N8"/>
      <c r="O8"/>
      <c r="P8"/>
    </row>
    <row r="9" spans="1:16" ht="37.5" customHeight="1" x14ac:dyDescent="0.35">
      <c r="A9" s="628">
        <f t="shared" si="1"/>
        <v>6</v>
      </c>
      <c r="B9" s="629" t="s">
        <v>254</v>
      </c>
      <c r="C9" s="630">
        <f>SECSP_PLATILLA_ITEMS</f>
        <v>38</v>
      </c>
      <c r="D9" s="631">
        <f>SECSP_PS</f>
        <v>17209102.296</v>
      </c>
      <c r="E9" s="632">
        <f>SECSP_MOOE</f>
        <v>2186000</v>
      </c>
      <c r="F9" s="631">
        <f>SECSP_CO</f>
        <v>553795.51</v>
      </c>
      <c r="G9" s="632"/>
      <c r="H9" s="633">
        <f t="shared" si="0"/>
        <v>19948897.806000002</v>
      </c>
      <c r="I9" s="634"/>
      <c r="J9" s="16"/>
      <c r="K9" s="16"/>
      <c r="L9" s="16"/>
      <c r="M9" s="16"/>
      <c r="N9"/>
      <c r="O9"/>
      <c r="P9"/>
    </row>
    <row r="10" spans="1:16" ht="37.5" customHeight="1" x14ac:dyDescent="0.35">
      <c r="A10" s="628">
        <f t="shared" si="1"/>
        <v>7</v>
      </c>
      <c r="B10" s="629" t="s">
        <v>255</v>
      </c>
      <c r="C10" s="630">
        <f>CHRMO_PLATILLA_ITEMS</f>
        <v>11</v>
      </c>
      <c r="D10" s="631">
        <f>CHRMO_PS</f>
        <v>7361391.7920000004</v>
      </c>
      <c r="E10" s="632">
        <f>CHRMO_MOOE</f>
        <v>329120</v>
      </c>
      <c r="F10" s="631">
        <f>CHRMO_CO</f>
        <v>0</v>
      </c>
      <c r="G10" s="632"/>
      <c r="H10" s="633">
        <f t="shared" si="0"/>
        <v>7690511.7920000004</v>
      </c>
      <c r="I10" s="634"/>
      <c r="J10" s="16"/>
      <c r="K10" s="16"/>
      <c r="L10" s="16"/>
      <c r="M10" s="16"/>
      <c r="N10"/>
      <c r="O10"/>
      <c r="P10"/>
    </row>
    <row r="11" spans="1:16" ht="37.5" customHeight="1" x14ac:dyDescent="0.35">
      <c r="A11" s="628">
        <f t="shared" si="1"/>
        <v>8</v>
      </c>
      <c r="B11" s="629" t="s">
        <v>256</v>
      </c>
      <c r="C11" s="630">
        <f>CPDO_PLATILLA_ITEMS</f>
        <v>10</v>
      </c>
      <c r="D11" s="631">
        <f>CPDO_PS</f>
        <v>8579156.4960000031</v>
      </c>
      <c r="E11" s="632">
        <f>CPDO_MOOE</f>
        <v>374000</v>
      </c>
      <c r="F11" s="631">
        <f>CPDO_CO</f>
        <v>0</v>
      </c>
      <c r="G11" s="632"/>
      <c r="H11" s="633">
        <f t="shared" si="0"/>
        <v>8953156.4960000031</v>
      </c>
      <c r="I11" s="634"/>
      <c r="J11" s="16"/>
      <c r="K11" s="16"/>
      <c r="L11" s="16"/>
      <c r="M11" s="16"/>
      <c r="N11"/>
      <c r="O11"/>
      <c r="P11"/>
    </row>
    <row r="12" spans="1:16" ht="37.5" customHeight="1" x14ac:dyDescent="0.35">
      <c r="A12" s="628">
        <f t="shared" si="1"/>
        <v>9</v>
      </c>
      <c r="B12" s="629" t="s">
        <v>257</v>
      </c>
      <c r="C12" s="630">
        <f>ZONING_PLATILLA_ITEMS</f>
        <v>14</v>
      </c>
      <c r="D12" s="631">
        <f>ZONING_PS</f>
        <v>9656167.6319999993</v>
      </c>
      <c r="E12" s="632">
        <f>ZONING_MOOE</f>
        <v>67000</v>
      </c>
      <c r="F12" s="631">
        <f>ZONING_CO</f>
        <v>0</v>
      </c>
      <c r="G12" s="632"/>
      <c r="H12" s="633">
        <f t="shared" si="0"/>
        <v>9723167.6319999993</v>
      </c>
      <c r="I12" s="634"/>
      <c r="J12" s="16"/>
      <c r="K12" s="16"/>
      <c r="L12" s="16"/>
      <c r="M12" s="16"/>
      <c r="N12"/>
      <c r="O12"/>
      <c r="P12"/>
    </row>
    <row r="13" spans="1:16" ht="37.5" customHeight="1" x14ac:dyDescent="0.35">
      <c r="A13" s="628">
        <f t="shared" si="1"/>
        <v>10</v>
      </c>
      <c r="B13" s="629" t="s">
        <v>258</v>
      </c>
      <c r="C13" s="630">
        <f>BAPAS_PLATILLA_ITEMS</f>
        <v>7</v>
      </c>
      <c r="D13" s="631">
        <f>BAPAS_PS</f>
        <v>4026550.8400000003</v>
      </c>
      <c r="E13" s="632">
        <f>BAPAS_MOOE</f>
        <v>388080</v>
      </c>
      <c r="F13" s="631">
        <f>BAPAS_CO</f>
        <v>0</v>
      </c>
      <c r="G13" s="632"/>
      <c r="H13" s="633">
        <f t="shared" si="0"/>
        <v>4414630.84</v>
      </c>
      <c r="I13" s="634"/>
      <c r="J13" s="16"/>
      <c r="K13" s="16"/>
      <c r="L13" s="16"/>
      <c r="M13" s="16"/>
      <c r="N13"/>
      <c r="O13"/>
      <c r="P13"/>
    </row>
    <row r="14" spans="1:16" s="7" customFormat="1" ht="21" customHeight="1" x14ac:dyDescent="0.35">
      <c r="A14" s="628">
        <f t="shared" si="1"/>
        <v>11</v>
      </c>
      <c r="B14" s="629" t="s">
        <v>259</v>
      </c>
      <c r="C14" s="630">
        <f>CCRO_PLATILLA_ITEMS</f>
        <v>17</v>
      </c>
      <c r="D14" s="631">
        <f>CCRO_PS</f>
        <v>10221092.583999997</v>
      </c>
      <c r="E14" s="632">
        <f>CCRO_MOOE</f>
        <v>956160</v>
      </c>
      <c r="F14" s="631">
        <f>CCRO_CO</f>
        <v>0</v>
      </c>
      <c r="G14" s="632"/>
      <c r="H14" s="633">
        <f t="shared" si="0"/>
        <v>11177252.583999997</v>
      </c>
      <c r="I14" s="634"/>
      <c r="J14" s="640"/>
      <c r="K14" s="640"/>
      <c r="L14" s="640"/>
      <c r="M14" s="640"/>
    </row>
    <row r="15" spans="1:16" ht="37.5" customHeight="1" x14ac:dyDescent="0.35">
      <c r="A15" s="628">
        <f t="shared" si="1"/>
        <v>12</v>
      </c>
      <c r="B15" s="629" t="s">
        <v>260</v>
      </c>
      <c r="C15" s="630">
        <f>'1061-CGSO'!CGSO_PLATILLA_ITEMS</f>
        <v>23</v>
      </c>
      <c r="D15" s="631">
        <f>'1061-CGSO'!CGSO_PS</f>
        <v>10897243.696</v>
      </c>
      <c r="E15" s="632">
        <f>'1061-CGSO'!CGSO_MOOE</f>
        <v>55049400</v>
      </c>
      <c r="F15" s="631">
        <f>'1061-CGSO'!CGSO_CO</f>
        <v>20150000</v>
      </c>
      <c r="G15" s="632"/>
      <c r="H15" s="633">
        <f t="shared" si="0"/>
        <v>86096643.69600001</v>
      </c>
      <c r="I15" s="634"/>
      <c r="J15" s="16"/>
      <c r="K15" s="16"/>
      <c r="L15" s="16"/>
      <c r="M15" s="16"/>
      <c r="N15"/>
      <c r="O15"/>
      <c r="P15"/>
    </row>
    <row r="16" spans="1:16" ht="37.5" customHeight="1" x14ac:dyDescent="0.35">
      <c r="A16" s="628">
        <f t="shared" si="1"/>
        <v>13</v>
      </c>
      <c r="B16" s="629" t="s">
        <v>261</v>
      </c>
      <c r="C16" s="630">
        <f>CBO_PLATILLA_ITEMS</f>
        <v>13</v>
      </c>
      <c r="D16" s="631">
        <f>CBO_PS</f>
        <v>9364369.1279999986</v>
      </c>
      <c r="E16" s="632">
        <f>CBO_MOOE</f>
        <v>367000</v>
      </c>
      <c r="F16" s="631">
        <f>CBO_CO</f>
        <v>0</v>
      </c>
      <c r="G16" s="632"/>
      <c r="H16" s="633">
        <f t="shared" si="0"/>
        <v>9731369.1279999986</v>
      </c>
      <c r="I16" s="634"/>
      <c r="J16" s="16"/>
      <c r="K16" s="16"/>
      <c r="L16" s="16"/>
      <c r="M16" s="16"/>
      <c r="N16"/>
      <c r="O16"/>
      <c r="P16"/>
    </row>
    <row r="17" spans="1:16" ht="25.5" customHeight="1" x14ac:dyDescent="0.35">
      <c r="A17" s="628">
        <f t="shared" si="1"/>
        <v>14</v>
      </c>
      <c r="B17" s="629" t="s">
        <v>262</v>
      </c>
      <c r="C17" s="630">
        <f>ACTNG_PLATILLA_ITEMS</f>
        <v>28</v>
      </c>
      <c r="D17" s="631">
        <f>ACTNG_PS</f>
        <v>17779048.424000002</v>
      </c>
      <c r="E17" s="632">
        <f>ACTNG_MOOE</f>
        <v>682800</v>
      </c>
      <c r="F17" s="631">
        <f>ACTNG_CO</f>
        <v>0</v>
      </c>
      <c r="G17" s="632"/>
      <c r="H17" s="633">
        <f t="shared" si="0"/>
        <v>18461848.424000002</v>
      </c>
      <c r="I17" s="634"/>
      <c r="J17" s="16"/>
      <c r="K17" s="16"/>
      <c r="L17" s="16"/>
      <c r="M17" s="16"/>
      <c r="N17"/>
      <c r="O17"/>
      <c r="P17"/>
    </row>
    <row r="18" spans="1:16" x14ac:dyDescent="0.35">
      <c r="A18" s="628">
        <f t="shared" si="1"/>
        <v>15</v>
      </c>
      <c r="B18" s="629" t="s">
        <v>263</v>
      </c>
      <c r="C18" s="630">
        <f>CTO_PLATILLA_ITEMS</f>
        <v>36</v>
      </c>
      <c r="D18" s="631">
        <f>CTO_PS</f>
        <v>22711556.112000007</v>
      </c>
      <c r="E18" s="632">
        <f>CTO_MOOE</f>
        <v>4515480</v>
      </c>
      <c r="F18" s="631">
        <f>CTO_CO</f>
        <v>0</v>
      </c>
      <c r="G18" s="632">
        <f>CTO_FE</f>
        <v>80000</v>
      </c>
      <c r="H18" s="633">
        <f t="shared" si="0"/>
        <v>27307036.112000007</v>
      </c>
      <c r="I18" s="634"/>
      <c r="J18" s="16"/>
      <c r="K18" s="16"/>
      <c r="L18" s="16"/>
      <c r="M18" s="16"/>
      <c r="N18"/>
      <c r="O18"/>
      <c r="P18"/>
    </row>
    <row r="19" spans="1:16" s="7" customFormat="1" ht="37.5" x14ac:dyDescent="0.35">
      <c r="A19" s="628">
        <f t="shared" si="1"/>
        <v>16</v>
      </c>
      <c r="B19" s="629" t="s">
        <v>264</v>
      </c>
      <c r="C19" s="630">
        <f>PERMITS_PLATILLA_ITEMS</f>
        <v>6</v>
      </c>
      <c r="D19" s="631">
        <f>PERMITS_PS</f>
        <v>3451519.5759999999</v>
      </c>
      <c r="E19" s="632">
        <f>PERMITS_MOOE</f>
        <v>2583800</v>
      </c>
      <c r="F19" s="631">
        <f>PERMITS_CO</f>
        <v>0</v>
      </c>
      <c r="G19" s="632"/>
      <c r="H19" s="633">
        <f t="shared" si="0"/>
        <v>6035319.5759999994</v>
      </c>
      <c r="I19" s="634"/>
      <c r="J19" s="640"/>
      <c r="K19" s="640"/>
      <c r="L19" s="640"/>
      <c r="M19" s="640"/>
    </row>
    <row r="20" spans="1:16" x14ac:dyDescent="0.35">
      <c r="A20" s="628">
        <f t="shared" si="1"/>
        <v>17</v>
      </c>
      <c r="B20" s="629" t="s">
        <v>265</v>
      </c>
      <c r="C20" s="630">
        <f>ASSESSOR_PLATILLA_ITEMS</f>
        <v>21</v>
      </c>
      <c r="D20" s="631">
        <f>ASSESSOR_PS</f>
        <v>14150222.743999999</v>
      </c>
      <c r="E20" s="632">
        <f>ASSESSOR_MOOE</f>
        <v>1953720</v>
      </c>
      <c r="F20" s="631">
        <f>ASSESSOR_CO</f>
        <v>0</v>
      </c>
      <c r="G20" s="632"/>
      <c r="H20" s="633">
        <f t="shared" si="0"/>
        <v>16103942.743999999</v>
      </c>
      <c r="I20" s="634"/>
      <c r="J20" s="16"/>
      <c r="K20" s="16"/>
      <c r="L20" s="16"/>
      <c r="M20" s="16"/>
      <c r="N20"/>
      <c r="O20"/>
      <c r="P20"/>
    </row>
    <row r="21" spans="1:16" ht="56.25" x14ac:dyDescent="0.35">
      <c r="A21" s="628">
        <f t="shared" si="1"/>
        <v>18</v>
      </c>
      <c r="B21" s="629" t="s">
        <v>266</v>
      </c>
      <c r="C21" s="641">
        <f>CSWDO_PLATILLA_ITEMS</f>
        <v>14</v>
      </c>
      <c r="D21" s="631">
        <f>CSWDO_PS</f>
        <v>9557474.7520000022</v>
      </c>
      <c r="E21" s="632">
        <f>CSWDO_MOOE</f>
        <v>234012000</v>
      </c>
      <c r="F21" s="631">
        <f>CSWDO_CO</f>
        <v>0</v>
      </c>
      <c r="G21" s="632"/>
      <c r="H21" s="633">
        <f t="shared" si="0"/>
        <v>243569474.752</v>
      </c>
      <c r="I21" s="634"/>
      <c r="J21" s="16"/>
      <c r="K21" s="16"/>
      <c r="L21" s="16"/>
      <c r="M21" s="16"/>
      <c r="N21"/>
      <c r="O21"/>
      <c r="P21"/>
    </row>
    <row r="22" spans="1:16" ht="21" customHeight="1" x14ac:dyDescent="0.35">
      <c r="A22" s="628">
        <f t="shared" si="1"/>
        <v>19</v>
      </c>
      <c r="B22" s="642" t="s">
        <v>267</v>
      </c>
      <c r="C22" s="630">
        <f>AGRI_PLATILLA_ITEMS</f>
        <v>25</v>
      </c>
      <c r="D22" s="638">
        <f>AGRI_PS</f>
        <v>15651123.063999997</v>
      </c>
      <c r="E22" s="632">
        <f>AGRI_MOOE</f>
        <v>3871000</v>
      </c>
      <c r="F22" s="631">
        <f>AGRI_CO</f>
        <v>3500000</v>
      </c>
      <c r="G22" s="632"/>
      <c r="H22" s="633">
        <f t="shared" si="0"/>
        <v>23022123.063999996</v>
      </c>
      <c r="I22" s="634"/>
      <c r="J22" s="16"/>
      <c r="K22" s="16"/>
      <c r="L22" s="16"/>
      <c r="M22" s="16"/>
      <c r="N22"/>
      <c r="O22"/>
      <c r="P22"/>
    </row>
    <row r="23" spans="1:16" ht="21" customHeight="1" x14ac:dyDescent="0.35">
      <c r="A23" s="628">
        <f t="shared" si="1"/>
        <v>20</v>
      </c>
      <c r="B23" s="642" t="s">
        <v>268</v>
      </c>
      <c r="C23" s="630">
        <f>VET_PLATILLA_ITEMS</f>
        <v>8</v>
      </c>
      <c r="D23" s="631">
        <f>VET_PS</f>
        <v>6528273.311999999</v>
      </c>
      <c r="E23" s="632">
        <f>VET_MOOE</f>
        <v>4501680</v>
      </c>
      <c r="F23" s="631">
        <f>VET_CO</f>
        <v>0</v>
      </c>
      <c r="G23" s="632"/>
      <c r="H23" s="633">
        <f t="shared" si="0"/>
        <v>11029953.311999999</v>
      </c>
      <c r="I23" s="634"/>
      <c r="J23" s="16"/>
      <c r="K23" s="16"/>
      <c r="L23" s="16"/>
      <c r="M23" s="16"/>
      <c r="N23"/>
      <c r="O23"/>
      <c r="P23"/>
    </row>
    <row r="24" spans="1:16" x14ac:dyDescent="0.35">
      <c r="A24" s="628">
        <f t="shared" si="1"/>
        <v>21</v>
      </c>
      <c r="B24" s="629" t="s">
        <v>269</v>
      </c>
      <c r="C24" s="630">
        <f>ENGINEER_PLATILLA_ITEMS</f>
        <v>44</v>
      </c>
      <c r="D24" s="631">
        <f>ENGINEER_PS</f>
        <v>22997133.320000004</v>
      </c>
      <c r="E24" s="632">
        <f>ENGINEER_MOOE</f>
        <v>23816800</v>
      </c>
      <c r="F24" s="631">
        <f>ENGINEER_CO</f>
        <v>20000000</v>
      </c>
      <c r="G24" s="632"/>
      <c r="H24" s="633">
        <f t="shared" si="0"/>
        <v>66813933.320000008</v>
      </c>
      <c r="I24" s="634"/>
      <c r="J24" s="16"/>
      <c r="K24" s="16"/>
      <c r="L24" s="16"/>
      <c r="M24" s="16"/>
      <c r="N24"/>
      <c r="O24"/>
      <c r="P24"/>
    </row>
    <row r="25" spans="1:16" x14ac:dyDescent="0.35">
      <c r="A25" s="628">
        <f t="shared" si="1"/>
        <v>22</v>
      </c>
      <c r="B25" s="629" t="s">
        <v>270</v>
      </c>
      <c r="C25" s="630">
        <f>'8811-MARKET'!MARKET_PLATILLA_ITEMS</f>
        <v>4</v>
      </c>
      <c r="D25" s="631">
        <f>'8811-MARKET'!MARKET_PS</f>
        <v>2199922.9840000002</v>
      </c>
      <c r="E25" s="632">
        <f>'8811-MARKET'!MARKET_MOOE</f>
        <v>5770240</v>
      </c>
      <c r="F25" s="631">
        <f>'8811-MARKET'!MARKET_CO</f>
        <v>0</v>
      </c>
      <c r="G25" s="632"/>
      <c r="H25" s="633">
        <f t="shared" si="0"/>
        <v>7970162.9840000002</v>
      </c>
      <c r="I25" s="634"/>
      <c r="J25" s="16"/>
      <c r="K25" s="16"/>
      <c r="L25" s="16"/>
      <c r="M25" s="16"/>
      <c r="N25"/>
      <c r="O25"/>
      <c r="P25"/>
    </row>
    <row r="26" spans="1:16" ht="37.5" customHeight="1" x14ac:dyDescent="0.35">
      <c r="A26" s="628">
        <f t="shared" si="1"/>
        <v>23</v>
      </c>
      <c r="B26" s="629" t="s">
        <v>271</v>
      </c>
      <c r="C26" s="630">
        <f>CSU_PLATILLA_ITEMS</f>
        <v>12</v>
      </c>
      <c r="D26" s="631">
        <f>CSU_PS</f>
        <v>4739022.5199999996</v>
      </c>
      <c r="E26" s="632">
        <f>CSU_MOOE</f>
        <v>1336000</v>
      </c>
      <c r="F26" s="631">
        <f>CSU_CO</f>
        <v>0</v>
      </c>
      <c r="G26" s="632"/>
      <c r="H26" s="633">
        <f t="shared" si="0"/>
        <v>6075022.5199999996</v>
      </c>
      <c r="I26" s="634"/>
      <c r="J26" s="16"/>
      <c r="K26" s="16"/>
      <c r="L26" s="16"/>
      <c r="M26" s="16"/>
      <c r="N26"/>
      <c r="O26"/>
      <c r="P26"/>
    </row>
    <row r="27" spans="1:16" ht="37.5" customHeight="1" x14ac:dyDescent="0.35">
      <c r="A27" s="628">
        <f t="shared" si="1"/>
        <v>24</v>
      </c>
      <c r="B27" s="629" t="s">
        <v>272</v>
      </c>
      <c r="C27" s="630">
        <f>CENRO_PLATILLA_ITEMS</f>
        <v>7</v>
      </c>
      <c r="D27" s="631">
        <f>CENRO_PS</f>
        <v>4968702.352</v>
      </c>
      <c r="E27" s="632">
        <f>CENRO_MOOE</f>
        <v>99000</v>
      </c>
      <c r="F27" s="631">
        <f>CENRO_CO</f>
        <v>0</v>
      </c>
      <c r="G27" s="632"/>
      <c r="H27" s="633">
        <f t="shared" si="0"/>
        <v>5067702.352</v>
      </c>
      <c r="I27" s="634"/>
      <c r="J27" s="16"/>
      <c r="K27" s="16"/>
      <c r="L27" s="16"/>
      <c r="M27" s="16"/>
      <c r="N27"/>
      <c r="O27"/>
      <c r="P27"/>
    </row>
    <row r="28" spans="1:16" s="7" customFormat="1" ht="37.5" x14ac:dyDescent="0.35">
      <c r="A28" s="628">
        <f t="shared" si="1"/>
        <v>25</v>
      </c>
      <c r="B28" s="629" t="s">
        <v>273</v>
      </c>
      <c r="C28" s="630">
        <f>'4411-CHO'!CHO_PLATILLA_ITEMS</f>
        <v>78</v>
      </c>
      <c r="D28" s="631">
        <f>'4411-CHO'!CHO_PS</f>
        <v>65463574.799999997</v>
      </c>
      <c r="E28" s="632">
        <f>'4411-CHO'!CHO_MOOE</f>
        <v>34736640</v>
      </c>
      <c r="F28" s="631">
        <f>'4411-CHO'!CHO_CO</f>
        <v>0</v>
      </c>
      <c r="G28" s="632"/>
      <c r="H28" s="633">
        <f t="shared" si="0"/>
        <v>100200214.8</v>
      </c>
      <c r="I28" s="634"/>
      <c r="J28" s="640"/>
      <c r="K28" s="640"/>
      <c r="L28" s="640"/>
      <c r="M28" s="640"/>
    </row>
    <row r="29" spans="1:16" ht="21" customHeight="1" x14ac:dyDescent="0.35">
      <c r="A29" s="628">
        <f t="shared" si="1"/>
        <v>26</v>
      </c>
      <c r="B29" s="629" t="s">
        <v>274</v>
      </c>
      <c r="C29" s="630">
        <f>LEGAL_PLATILLA_ITEMS</f>
        <v>2</v>
      </c>
      <c r="D29" s="631">
        <f>LEGAL_PS</f>
        <v>2151495.9280000003</v>
      </c>
      <c r="E29" s="632">
        <f>LEGAL_MOOE</f>
        <v>529200</v>
      </c>
      <c r="F29" s="631">
        <f>LEGAL_CO</f>
        <v>0</v>
      </c>
      <c r="G29" s="632"/>
      <c r="H29" s="633">
        <f t="shared" si="0"/>
        <v>2680695.9280000003</v>
      </c>
      <c r="I29" s="634"/>
      <c r="J29" s="16"/>
      <c r="K29" s="16"/>
      <c r="L29" s="16"/>
      <c r="M29" s="16"/>
      <c r="N29"/>
      <c r="O29"/>
      <c r="P29"/>
    </row>
    <row r="30" spans="1:16" ht="37.5" x14ac:dyDescent="0.35">
      <c r="A30" s="628">
        <f t="shared" si="1"/>
        <v>27</v>
      </c>
      <c r="B30" s="629" t="s">
        <v>275</v>
      </c>
      <c r="C30" s="630">
        <f>CPIO_PLATILLA_ITEMS</f>
        <v>2</v>
      </c>
      <c r="D30" s="631">
        <f>CPIO_PS</f>
        <v>971797.64800000004</v>
      </c>
      <c r="E30" s="632">
        <f>CPIO_MOOE</f>
        <v>1953800</v>
      </c>
      <c r="F30" s="631">
        <f>CPIO_CO</f>
        <v>0</v>
      </c>
      <c r="G30" s="632"/>
      <c r="H30" s="633">
        <f t="shared" si="0"/>
        <v>2925597.648</v>
      </c>
      <c r="I30" s="634"/>
      <c r="J30" s="16"/>
      <c r="K30" s="16"/>
      <c r="L30" s="16"/>
      <c r="M30" s="16"/>
      <c r="N30"/>
      <c r="O30"/>
      <c r="P30"/>
    </row>
    <row r="31" spans="1:16" s="7" customFormat="1" ht="56.25" x14ac:dyDescent="0.35">
      <c r="A31" s="628">
        <f t="shared" si="1"/>
        <v>28</v>
      </c>
      <c r="B31" s="629" t="s">
        <v>276</v>
      </c>
      <c r="C31" s="630">
        <f>'CDRRMO-CDRRMO'!CDRRMO_PLATILLA_ITEMS</f>
        <v>7</v>
      </c>
      <c r="D31" s="631">
        <f>'CDRRMO-CDRRMO'!CDRRMO_PS</f>
        <v>5875443.8960000016</v>
      </c>
      <c r="E31" s="632">
        <f>'CDRRMO-CDRRMO'!CDRRMO_MOOE</f>
        <v>5174120</v>
      </c>
      <c r="F31" s="631">
        <f>'CDRRMO-CDRRMO'!CDRRMO_CO</f>
        <v>0</v>
      </c>
      <c r="G31" s="632"/>
      <c r="H31" s="633">
        <f t="shared" si="0"/>
        <v>11049563.896000002</v>
      </c>
      <c r="I31" s="634"/>
      <c r="J31" s="640"/>
      <c r="K31" s="640"/>
      <c r="L31" s="640"/>
      <c r="M31" s="640"/>
    </row>
    <row r="32" spans="1:16" ht="37.5" x14ac:dyDescent="0.35">
      <c r="A32" s="628">
        <f t="shared" si="1"/>
        <v>29</v>
      </c>
      <c r="B32" s="629" t="s">
        <v>277</v>
      </c>
      <c r="C32" s="630"/>
      <c r="D32" s="631">
        <f>'TRAFFIC-TRAFFIC'!G11</f>
        <v>0</v>
      </c>
      <c r="E32" s="632">
        <f>TRAFFIC_MOOE</f>
        <v>6021000</v>
      </c>
      <c r="F32" s="631">
        <f>TRAFFIC_CO</f>
        <v>0</v>
      </c>
      <c r="G32" s="632"/>
      <c r="H32" s="633">
        <f t="shared" si="0"/>
        <v>6021000</v>
      </c>
      <c r="I32" s="634"/>
      <c r="J32" s="16"/>
      <c r="K32" s="16"/>
      <c r="L32" s="16"/>
      <c r="M32" s="16"/>
      <c r="N32"/>
      <c r="O32"/>
      <c r="P32"/>
    </row>
    <row r="33" spans="1:16" ht="37.5" x14ac:dyDescent="0.35">
      <c r="A33" s="628">
        <f t="shared" si="1"/>
        <v>30</v>
      </c>
      <c r="B33" s="629" t="s">
        <v>278</v>
      </c>
      <c r="C33" s="630">
        <f>SOLIDWASTE_PLATILLA_ITEMS</f>
        <v>2</v>
      </c>
      <c r="D33" s="631">
        <f>SOLIDWASTE_PS</f>
        <v>638496.728</v>
      </c>
      <c r="E33" s="632">
        <f>SOLIDWASTE_MOOE</f>
        <v>0</v>
      </c>
      <c r="F33" s="631">
        <f>SOLIDWASTE_CO</f>
        <v>0</v>
      </c>
      <c r="G33" s="632"/>
      <c r="H33" s="633">
        <f t="shared" si="0"/>
        <v>638496.728</v>
      </c>
      <c r="I33" s="634"/>
      <c r="J33" s="16"/>
      <c r="K33" s="16"/>
      <c r="L33" s="16"/>
      <c r="M33" s="16"/>
      <c r="N33"/>
      <c r="O33"/>
      <c r="P33"/>
    </row>
    <row r="34" spans="1:16" ht="37.5" x14ac:dyDescent="0.35">
      <c r="A34" s="628">
        <f t="shared" si="1"/>
        <v>31</v>
      </c>
      <c r="B34" s="629" t="s">
        <v>279</v>
      </c>
      <c r="C34" s="630">
        <f>IAS_PLATILLA_ITEMS</f>
        <v>1</v>
      </c>
      <c r="D34" s="631">
        <f>IAS_PS</f>
        <v>1176879.1840000001</v>
      </c>
      <c r="E34" s="632">
        <f>IAS_MOOE</f>
        <v>0</v>
      </c>
      <c r="F34" s="631">
        <f>IAS_CO</f>
        <v>0</v>
      </c>
      <c r="G34" s="632"/>
      <c r="H34" s="633">
        <f t="shared" si="0"/>
        <v>1176879.1840000001</v>
      </c>
      <c r="I34" s="634"/>
      <c r="J34" s="16"/>
      <c r="K34" s="16"/>
      <c r="L34" s="16"/>
      <c r="M34" s="16"/>
      <c r="N34"/>
      <c r="O34"/>
      <c r="P34"/>
    </row>
    <row r="35" spans="1:16" ht="56.25" x14ac:dyDescent="0.35">
      <c r="A35" s="628">
        <f t="shared" si="1"/>
        <v>32</v>
      </c>
      <c r="B35" s="629" t="s">
        <v>805</v>
      </c>
      <c r="C35" s="630">
        <f>IT_PLANTILLA_ITEMS</f>
        <v>2</v>
      </c>
      <c r="D35" s="631">
        <f>IT_PS</f>
        <v>3196671.8959999997</v>
      </c>
      <c r="E35" s="632">
        <f>IT_MOOE</f>
        <v>318000</v>
      </c>
      <c r="F35" s="631">
        <f>IT_CO</f>
        <v>0</v>
      </c>
      <c r="G35" s="632"/>
      <c r="H35" s="633">
        <f t="shared" ref="H35" si="2">SUM(D35:G35)</f>
        <v>3514671.8959999997</v>
      </c>
      <c r="I35" s="634"/>
      <c r="J35" s="16"/>
      <c r="K35" s="16"/>
      <c r="L35" s="16"/>
      <c r="M35" s="16"/>
      <c r="N35"/>
      <c r="O35"/>
      <c r="P35"/>
    </row>
    <row r="36" spans="1:16" ht="56.25" x14ac:dyDescent="0.35">
      <c r="A36" s="628">
        <v>33</v>
      </c>
      <c r="B36" s="629" t="s">
        <v>408</v>
      </c>
      <c r="C36" s="630">
        <f>CTFRO_PLATILLA_ITEMS</f>
        <v>2</v>
      </c>
      <c r="D36" s="631">
        <f>CTFRO_PS</f>
        <v>3196671.8959999997</v>
      </c>
      <c r="E36" s="632">
        <f>CTFRO_MOOE</f>
        <v>538800</v>
      </c>
      <c r="F36" s="631">
        <f>CTFRO_CO</f>
        <v>0</v>
      </c>
      <c r="G36" s="632"/>
      <c r="H36" s="633">
        <f t="shared" si="0"/>
        <v>3735471.8959999997</v>
      </c>
      <c r="I36" s="634"/>
      <c r="J36" s="16"/>
      <c r="K36" s="16"/>
      <c r="L36" s="16"/>
      <c r="M36" s="16"/>
      <c r="N36"/>
      <c r="O36"/>
      <c r="P36"/>
    </row>
    <row r="37" spans="1:16" ht="37.5" x14ac:dyDescent="0.35">
      <c r="A37" s="628">
        <v>34</v>
      </c>
      <c r="B37" s="629" t="s">
        <v>410</v>
      </c>
      <c r="C37" s="630">
        <f>PESO_PLATILLA_ITEMS</f>
        <v>1</v>
      </c>
      <c r="D37" s="631">
        <f>PESO_PS</f>
        <v>1796321.656</v>
      </c>
      <c r="E37" s="632">
        <f>PESO_MOOE</f>
        <v>64000</v>
      </c>
      <c r="F37" s="631">
        <f>PESO_CO</f>
        <v>0</v>
      </c>
      <c r="G37" s="632"/>
      <c r="H37" s="633">
        <f t="shared" si="0"/>
        <v>1860321.656</v>
      </c>
      <c r="I37" s="634"/>
      <c r="J37" s="16"/>
      <c r="K37" s="16"/>
      <c r="L37" s="16"/>
      <c r="M37" s="16"/>
      <c r="N37"/>
      <c r="O37"/>
      <c r="P37"/>
    </row>
    <row r="38" spans="1:16" x14ac:dyDescent="0.35">
      <c r="A38" s="628">
        <v>35</v>
      </c>
      <c r="B38" s="629" t="s">
        <v>409</v>
      </c>
      <c r="C38" s="630">
        <f>TOURISM_PLATILLA_ITEMS</f>
        <v>3</v>
      </c>
      <c r="D38" s="631">
        <f>TOURISM_PS</f>
        <v>2456238.5440000002</v>
      </c>
      <c r="E38" s="632">
        <f>TOURISM_MOOE</f>
        <v>462200</v>
      </c>
      <c r="F38" s="631">
        <f>TOURISM_CO</f>
        <v>50000</v>
      </c>
      <c r="G38" s="632"/>
      <c r="H38" s="633">
        <f t="shared" si="0"/>
        <v>2968438.5440000002</v>
      </c>
      <c r="I38" s="634"/>
      <c r="J38" s="16"/>
      <c r="K38" s="16"/>
      <c r="L38" s="16"/>
      <c r="M38" s="16"/>
      <c r="N38"/>
      <c r="O38"/>
      <c r="P38"/>
    </row>
    <row r="39" spans="1:16" ht="37.5" x14ac:dyDescent="0.35">
      <c r="A39" s="628">
        <v>36</v>
      </c>
      <c r="B39" s="629" t="s">
        <v>508</v>
      </c>
      <c r="C39" s="630">
        <f>CDO_PLATILLA_ITEMS</f>
        <v>1</v>
      </c>
      <c r="D39" s="631">
        <f>CDO_PS</f>
        <v>1796321.656</v>
      </c>
      <c r="E39" s="632">
        <f>CDO_MOOE</f>
        <v>349400</v>
      </c>
      <c r="F39" s="631">
        <f>CDO_CO</f>
        <v>0</v>
      </c>
      <c r="G39" s="632"/>
      <c r="H39" s="633">
        <f t="shared" si="0"/>
        <v>2145721.656</v>
      </c>
      <c r="I39" s="634"/>
      <c r="J39" s="16"/>
      <c r="K39" s="16"/>
      <c r="L39" s="16"/>
      <c r="M39" s="16"/>
      <c r="N39"/>
      <c r="O39"/>
      <c r="P39"/>
    </row>
    <row r="40" spans="1:16" ht="98.25" customHeight="1" x14ac:dyDescent="0.25">
      <c r="A40" s="628">
        <v>37</v>
      </c>
      <c r="B40" s="629" t="s">
        <v>853</v>
      </c>
      <c r="C40" s="630"/>
      <c r="D40" s="631"/>
      <c r="E40" s="632"/>
      <c r="F40" s="631"/>
      <c r="G40" s="632"/>
      <c r="H40" s="643">
        <f>'SPPA FORM2A'!CMO_SPPA_TOTAL</f>
        <v>560367514.48000002</v>
      </c>
      <c r="I40" s="776"/>
      <c r="J40" s="855">
        <f>466277380-H40</f>
        <v>-94090134.480000019</v>
      </c>
      <c r="K40" s="776" t="s">
        <v>956</v>
      </c>
      <c r="L40" s="16"/>
      <c r="M40" s="16"/>
      <c r="N40"/>
      <c r="O40"/>
      <c r="P40"/>
    </row>
    <row r="41" spans="1:16" ht="21" customHeight="1" x14ac:dyDescent="0.35">
      <c r="A41" s="628">
        <v>38</v>
      </c>
      <c r="B41" s="629" t="s">
        <v>281</v>
      </c>
      <c r="C41" s="630"/>
      <c r="D41" s="631"/>
      <c r="E41" s="632"/>
      <c r="F41" s="631"/>
      <c r="G41" s="632"/>
      <c r="H41" s="1042">
        <f>3520000+5091275.48</f>
        <v>8611275.4800000004</v>
      </c>
      <c r="I41" s="634"/>
      <c r="J41" s="402"/>
      <c r="K41" s="16"/>
      <c r="L41" s="16"/>
      <c r="M41" s="16"/>
      <c r="N41"/>
      <c r="O41"/>
      <c r="P41"/>
    </row>
    <row r="42" spans="1:16" x14ac:dyDescent="0.35">
      <c r="A42" s="628">
        <v>39</v>
      </c>
      <c r="B42" s="629" t="s">
        <v>229</v>
      </c>
      <c r="C42" s="630"/>
      <c r="D42" s="631"/>
      <c r="E42" s="632"/>
      <c r="F42" s="631"/>
      <c r="G42" s="632"/>
      <c r="H42" s="1042">
        <f>I42*20%</f>
        <v>208086500</v>
      </c>
      <c r="I42" s="644">
        <v>1040432500</v>
      </c>
      <c r="J42" s="644">
        <v>1429136579</v>
      </c>
      <c r="K42" s="16"/>
      <c r="L42" s="16"/>
      <c r="M42" s="16"/>
      <c r="N42"/>
      <c r="O42"/>
      <c r="P42"/>
    </row>
    <row r="43" spans="1:16" x14ac:dyDescent="0.35">
      <c r="A43" s="645">
        <v>40</v>
      </c>
      <c r="B43" s="646" t="s">
        <v>230</v>
      </c>
      <c r="C43" s="647"/>
      <c r="D43" s="648"/>
      <c r="E43" s="649"/>
      <c r="F43" s="648"/>
      <c r="G43" s="649"/>
      <c r="H43" s="1043">
        <f>I43*0.05</f>
        <v>90164362.00150001</v>
      </c>
      <c r="I43" s="650">
        <v>1803287240.03</v>
      </c>
      <c r="J43" s="644">
        <v>1605170968</v>
      </c>
      <c r="K43" s="16"/>
      <c r="L43" s="16"/>
      <c r="M43" s="16"/>
      <c r="N43"/>
      <c r="O43"/>
      <c r="P43"/>
    </row>
    <row r="44" spans="1:16" s="8" customFormat="1" x14ac:dyDescent="0.35">
      <c r="A44" s="651"/>
      <c r="B44" s="652"/>
      <c r="C44" s="653">
        <f>SUM(C4:C43)</f>
        <v>503</v>
      </c>
      <c r="D44" s="654">
        <f t="shared" ref="D44:G44" si="3">SUM(D4:D43)</f>
        <v>378669535.90333349</v>
      </c>
      <c r="E44" s="654">
        <f t="shared" si="3"/>
        <v>510124256.6566</v>
      </c>
      <c r="F44" s="654">
        <f t="shared" si="3"/>
        <v>47183795.509999998</v>
      </c>
      <c r="G44" s="654">
        <f t="shared" si="3"/>
        <v>80000</v>
      </c>
      <c r="H44" s="654">
        <f>SUM(H4:H43)</f>
        <v>1803287240.0314336</v>
      </c>
      <c r="I44" s="655">
        <f>SUM(D44:G44)+H40+H41+H42+H43</f>
        <v>1803287240.0314336</v>
      </c>
      <c r="J44" s="656"/>
      <c r="K44" s="656"/>
      <c r="L44" s="656"/>
      <c r="M44" s="656"/>
    </row>
    <row r="45" spans="1:16" ht="26.25" x14ac:dyDescent="0.4">
      <c r="A45" s="657"/>
      <c r="B45" s="725"/>
      <c r="C45" s="367"/>
      <c r="D45" s="658"/>
      <c r="E45" s="658"/>
      <c r="F45" s="658"/>
      <c r="G45" s="658"/>
      <c r="H45" s="726"/>
      <c r="I45" s="659">
        <f>I43-H44</f>
        <v>-1.4336109161376953E-3</v>
      </c>
      <c r="J45" s="402">
        <v>1467347764.3699999</v>
      </c>
      <c r="K45" s="16"/>
      <c r="L45" s="16"/>
      <c r="M45" s="16"/>
      <c r="N45"/>
      <c r="O45"/>
      <c r="P45"/>
    </row>
    <row r="46" spans="1:16" s="14" customFormat="1" x14ac:dyDescent="0.35">
      <c r="A46" s="660" t="s">
        <v>282</v>
      </c>
      <c r="B46" s="660"/>
      <c r="C46" s="661"/>
      <c r="D46" s="660"/>
      <c r="E46" s="660" t="s">
        <v>283</v>
      </c>
      <c r="F46" s="662"/>
      <c r="G46" s="832"/>
      <c r="H46" s="832"/>
      <c r="I46" s="663"/>
      <c r="J46" s="11">
        <f>SUM(J47:J66)</f>
        <v>0</v>
      </c>
      <c r="K46" s="10">
        <f>SUM(K47:K66)</f>
        <v>0</v>
      </c>
      <c r="L46" s="11"/>
      <c r="M46" s="664">
        <v>775769391.83000004</v>
      </c>
      <c r="N46" s="13"/>
    </row>
    <row r="47" spans="1:16" s="14" customFormat="1" ht="35.25" customHeight="1" x14ac:dyDescent="0.35">
      <c r="A47" s="660"/>
      <c r="B47" s="660"/>
      <c r="C47" s="660"/>
      <c r="D47" s="660"/>
      <c r="E47" s="660"/>
      <c r="F47" s="662"/>
      <c r="G47" s="832"/>
      <c r="H47" s="778"/>
      <c r="I47" s="714">
        <v>118868605.25</v>
      </c>
      <c r="J47" s="713"/>
      <c r="K47" s="10"/>
      <c r="L47" s="11"/>
      <c r="M47" s="664"/>
      <c r="N47" s="13"/>
    </row>
    <row r="48" spans="1:16" s="14" customFormat="1" x14ac:dyDescent="0.35">
      <c r="A48" s="666" t="s">
        <v>284</v>
      </c>
      <c r="B48" s="667"/>
      <c r="C48" s="668"/>
      <c r="D48" s="660"/>
      <c r="E48" s="667" t="s">
        <v>446</v>
      </c>
      <c r="F48" s="660"/>
      <c r="G48" s="344"/>
      <c r="H48" s="778"/>
      <c r="I48" s="665">
        <v>50000000</v>
      </c>
      <c r="J48" s="11"/>
      <c r="K48" s="10"/>
      <c r="L48" s="11" t="s">
        <v>285</v>
      </c>
      <c r="M48" s="664"/>
      <c r="N48" s="13"/>
    </row>
    <row r="49" spans="1:16" s="14" customFormat="1" ht="23.25" x14ac:dyDescent="0.35">
      <c r="A49" s="669" t="s">
        <v>431</v>
      </c>
      <c r="B49" s="667"/>
      <c r="C49" s="668"/>
      <c r="D49" s="660"/>
      <c r="E49" s="660" t="s">
        <v>286</v>
      </c>
      <c r="F49" s="665"/>
      <c r="G49" s="344"/>
      <c r="H49" s="345"/>
      <c r="I49" s="668">
        <f>+I47-I48</f>
        <v>68868605.25</v>
      </c>
      <c r="J49" s="11"/>
      <c r="K49" s="11"/>
      <c r="L49" s="11" t="s">
        <v>287</v>
      </c>
      <c r="M49" s="664"/>
      <c r="N49" s="13"/>
    </row>
    <row r="50" spans="1:16" s="14" customFormat="1" x14ac:dyDescent="0.35">
      <c r="A50" s="16"/>
      <c r="B50" s="10"/>
      <c r="C50" s="17"/>
      <c r="D50" s="18"/>
      <c r="E50" s="10"/>
      <c r="F50" s="11"/>
      <c r="G50" s="11"/>
      <c r="H50" s="11"/>
      <c r="I50" s="668">
        <f>+I49/10</f>
        <v>6886860.5250000004</v>
      </c>
      <c r="J50" s="19"/>
      <c r="K50" s="11"/>
      <c r="L50" s="19" t="s">
        <v>288</v>
      </c>
      <c r="M50" s="664"/>
      <c r="N50" s="13"/>
    </row>
    <row r="51" spans="1:16" s="14" customFormat="1" x14ac:dyDescent="0.35">
      <c r="A51" s="16"/>
      <c r="B51" s="10"/>
      <c r="C51" s="17"/>
      <c r="D51" s="18"/>
      <c r="E51" s="10"/>
      <c r="F51" s="11"/>
      <c r="G51" s="11"/>
      <c r="H51" s="11"/>
      <c r="I51" s="668"/>
      <c r="J51" s="19"/>
      <c r="K51" s="11"/>
      <c r="L51" s="19"/>
      <c r="M51" s="664"/>
      <c r="N51" s="13"/>
    </row>
    <row r="52" spans="1:16" s="851" customFormat="1" ht="15.75" x14ac:dyDescent="0.25">
      <c r="A52" s="843"/>
      <c r="B52" s="844" t="s">
        <v>946</v>
      </c>
      <c r="C52" s="845"/>
      <c r="D52" s="845" t="s">
        <v>947</v>
      </c>
      <c r="E52" s="846"/>
      <c r="F52" s="853"/>
      <c r="G52" s="847"/>
      <c r="H52" s="847"/>
      <c r="I52" s="847"/>
      <c r="J52" s="848"/>
      <c r="K52" s="847"/>
      <c r="L52" s="848"/>
      <c r="M52" s="849"/>
      <c r="N52" s="850"/>
    </row>
    <row r="53" spans="1:16" s="851" customFormat="1" ht="15.75" x14ac:dyDescent="0.25">
      <c r="A53" s="843"/>
      <c r="B53" s="852" t="s">
        <v>948</v>
      </c>
      <c r="C53" s="845"/>
      <c r="D53" s="845">
        <v>2023</v>
      </c>
      <c r="E53" s="846"/>
      <c r="F53" s="853"/>
      <c r="G53" s="854"/>
      <c r="H53" s="847"/>
      <c r="I53" s="847"/>
      <c r="J53" s="848"/>
      <c r="K53" s="847"/>
      <c r="L53" s="848"/>
      <c r="M53" s="849"/>
      <c r="N53" s="850"/>
    </row>
    <row r="54" spans="1:16" s="851" customFormat="1" ht="15.75" x14ac:dyDescent="0.25">
      <c r="A54" s="843"/>
      <c r="B54" s="852" t="s">
        <v>954</v>
      </c>
      <c r="C54" s="845"/>
      <c r="D54" s="845" t="s">
        <v>951</v>
      </c>
      <c r="E54" s="846"/>
      <c r="F54" s="847"/>
      <c r="G54" s="847"/>
      <c r="H54" s="847"/>
      <c r="I54" s="847"/>
      <c r="J54" s="848"/>
      <c r="K54" s="847"/>
      <c r="L54" s="848"/>
      <c r="M54" s="849"/>
      <c r="N54" s="850"/>
    </row>
    <row r="55" spans="1:16" s="851" customFormat="1" ht="15.75" x14ac:dyDescent="0.25">
      <c r="A55" s="843"/>
      <c r="B55" s="852" t="s">
        <v>955</v>
      </c>
      <c r="C55" s="845"/>
      <c r="D55" s="845" t="s">
        <v>951</v>
      </c>
      <c r="E55" s="846"/>
      <c r="F55" s="853"/>
      <c r="G55" s="847"/>
      <c r="H55" s="847"/>
      <c r="I55" s="847"/>
      <c r="J55" s="848"/>
      <c r="K55" s="847"/>
      <c r="L55" s="848"/>
      <c r="M55" s="849"/>
      <c r="N55" s="850"/>
    </row>
    <row r="56" spans="1:16" s="851" customFormat="1" ht="15.75" x14ac:dyDescent="0.25">
      <c r="A56" s="843"/>
      <c r="B56" s="844" t="s">
        <v>949</v>
      </c>
      <c r="C56" s="845"/>
      <c r="D56" s="845"/>
      <c r="E56" s="846"/>
      <c r="F56" s="853"/>
      <c r="G56" s="854"/>
      <c r="H56" s="847"/>
      <c r="I56" s="847"/>
      <c r="J56" s="848"/>
      <c r="K56" s="847"/>
      <c r="L56" s="848"/>
      <c r="M56" s="849"/>
      <c r="N56" s="850"/>
    </row>
    <row r="57" spans="1:16" s="851" customFormat="1" ht="15.75" x14ac:dyDescent="0.25">
      <c r="A57" s="843"/>
      <c r="B57" s="852" t="s">
        <v>950</v>
      </c>
      <c r="C57" s="845"/>
      <c r="D57" s="845" t="s">
        <v>957</v>
      </c>
      <c r="E57" s="846"/>
      <c r="F57" s="847"/>
      <c r="G57" s="847"/>
      <c r="H57" s="847"/>
      <c r="I57" s="847"/>
      <c r="J57" s="848"/>
      <c r="K57" s="847"/>
      <c r="L57" s="848"/>
      <c r="M57" s="849"/>
      <c r="N57" s="850"/>
    </row>
    <row r="58" spans="1:16" s="851" customFormat="1" ht="15.75" x14ac:dyDescent="0.25">
      <c r="A58" s="843"/>
      <c r="B58" s="852" t="s">
        <v>952</v>
      </c>
      <c r="C58" s="845"/>
      <c r="D58" s="845" t="s">
        <v>953</v>
      </c>
      <c r="E58" s="846"/>
      <c r="F58" s="847"/>
      <c r="G58" s="847"/>
      <c r="H58" s="847"/>
      <c r="I58" s="847"/>
      <c r="J58" s="848"/>
      <c r="K58" s="847"/>
      <c r="L58" s="848"/>
      <c r="M58" s="849"/>
      <c r="N58" s="850"/>
    </row>
    <row r="59" spans="1:16" s="14" customFormat="1" x14ac:dyDescent="0.35">
      <c r="A59" s="16"/>
      <c r="B59" s="10"/>
      <c r="C59" s="17"/>
      <c r="D59" s="18"/>
      <c r="E59" s="10"/>
      <c r="F59" s="11"/>
      <c r="G59" s="11"/>
      <c r="H59" s="11"/>
      <c r="I59" s="668">
        <f>+I49/10</f>
        <v>6886860.5250000004</v>
      </c>
      <c r="J59" s="19"/>
      <c r="K59" s="11"/>
      <c r="L59" s="19" t="s">
        <v>288</v>
      </c>
      <c r="M59" s="664"/>
      <c r="N59" s="13"/>
    </row>
    <row r="60" spans="1:16" x14ac:dyDescent="0.35">
      <c r="A60" s="367"/>
      <c r="B60" s="670"/>
      <c r="C60" s="367"/>
      <c r="D60" s="16"/>
      <c r="E60" s="16"/>
      <c r="F60" s="16"/>
      <c r="G60" s="16"/>
      <c r="H60" s="644"/>
      <c r="I60" s="660"/>
      <c r="J60" s="16"/>
      <c r="K60" s="16"/>
      <c r="L60" s="16"/>
      <c r="M60" s="16"/>
      <c r="N60"/>
      <c r="O60"/>
      <c r="P60"/>
    </row>
    <row r="61" spans="1:16" x14ac:dyDescent="0.35">
      <c r="A61" s="367"/>
      <c r="B61" s="670"/>
      <c r="C61" s="367"/>
      <c r="D61" s="16"/>
      <c r="E61" s="16"/>
      <c r="F61" s="16"/>
      <c r="G61" s="16"/>
      <c r="H61" s="16"/>
      <c r="I61" s="644">
        <v>1202495177</v>
      </c>
      <c r="J61" s="402"/>
      <c r="K61" s="16"/>
      <c r="L61" s="16"/>
      <c r="M61" s="16"/>
      <c r="N61"/>
      <c r="O61"/>
      <c r="P61"/>
    </row>
    <row r="62" spans="1:16" x14ac:dyDescent="0.35">
      <c r="A62" s="671"/>
      <c r="B62" s="672" t="s">
        <v>558</v>
      </c>
      <c r="C62" s="367"/>
      <c r="D62" s="568"/>
      <c r="E62" s="568"/>
      <c r="F62" s="16"/>
      <c r="G62" s="16"/>
      <c r="H62" s="840"/>
      <c r="I62" s="644">
        <f>+I61*0.05</f>
        <v>60124758.850000001</v>
      </c>
      <c r="J62" s="402"/>
      <c r="K62" s="16"/>
      <c r="L62" s="16"/>
      <c r="M62" s="16"/>
      <c r="N62"/>
      <c r="O62"/>
      <c r="P62"/>
    </row>
    <row r="63" spans="1:16" ht="31.5" x14ac:dyDescent="0.35">
      <c r="A63" s="671"/>
      <c r="B63" s="673" t="s">
        <v>297</v>
      </c>
      <c r="C63" s="674"/>
      <c r="D63" s="675">
        <v>42391000</v>
      </c>
      <c r="E63" s="402"/>
      <c r="F63" s="16"/>
      <c r="G63" s="16"/>
      <c r="H63" s="16"/>
      <c r="I63" s="660"/>
      <c r="J63" s="402"/>
      <c r="K63" s="16"/>
      <c r="L63" s="16"/>
      <c r="M63" s="16"/>
      <c r="N63"/>
      <c r="O63"/>
      <c r="P63"/>
    </row>
    <row r="64" spans="1:16" ht="31.5" x14ac:dyDescent="0.35">
      <c r="A64" s="671"/>
      <c r="B64" s="673" t="s">
        <v>300</v>
      </c>
      <c r="C64" s="676"/>
      <c r="D64" s="675">
        <v>46000000</v>
      </c>
      <c r="E64" s="402"/>
      <c r="F64" s="16"/>
      <c r="G64" s="16"/>
      <c r="H64" s="16"/>
      <c r="I64" s="644">
        <v>1605170968</v>
      </c>
      <c r="J64" s="371"/>
      <c r="K64" s="16"/>
      <c r="L64" s="16"/>
      <c r="M64" s="16"/>
      <c r="N64"/>
      <c r="O64"/>
      <c r="P64"/>
    </row>
    <row r="65" spans="1:16" x14ac:dyDescent="0.35">
      <c r="A65" s="671"/>
      <c r="B65" s="673" t="s">
        <v>515</v>
      </c>
      <c r="C65" s="676"/>
      <c r="D65" s="675">
        <v>32000000</v>
      </c>
      <c r="E65" s="402" t="s">
        <v>604</v>
      </c>
      <c r="F65" s="16"/>
      <c r="G65" s="16"/>
      <c r="H65" s="16"/>
      <c r="I65" s="660"/>
      <c r="J65" s="16"/>
      <c r="K65" s="16"/>
      <c r="L65" s="16"/>
      <c r="M65" s="16"/>
      <c r="N65"/>
      <c r="O65"/>
      <c r="P65"/>
    </row>
    <row r="66" spans="1:16" ht="61.5" x14ac:dyDescent="0.35">
      <c r="A66" s="671"/>
      <c r="B66" s="673" t="s">
        <v>303</v>
      </c>
      <c r="C66" s="676"/>
      <c r="D66" s="675">
        <v>61810000</v>
      </c>
      <c r="E66" s="402" t="s">
        <v>616</v>
      </c>
      <c r="F66" s="16"/>
      <c r="G66" s="16"/>
      <c r="H66" s="16"/>
      <c r="I66" s="839">
        <f>+I64-H44</f>
        <v>-198116272.03143358</v>
      </c>
      <c r="J66" s="16"/>
      <c r="K66" s="16"/>
      <c r="L66" s="16"/>
      <c r="M66" s="16"/>
      <c r="N66"/>
      <c r="O66"/>
      <c r="P66"/>
    </row>
    <row r="67" spans="1:16" ht="46.5" x14ac:dyDescent="0.35">
      <c r="A67" s="671"/>
      <c r="B67" s="673" t="s">
        <v>393</v>
      </c>
      <c r="C67" s="676"/>
      <c r="D67" s="675">
        <v>14260000</v>
      </c>
      <c r="E67" s="402"/>
      <c r="F67" s="16"/>
      <c r="G67" s="16"/>
      <c r="H67" s="16"/>
      <c r="I67" s="660"/>
      <c r="J67" s="16"/>
      <c r="K67" s="16"/>
      <c r="L67" s="16"/>
      <c r="M67" s="16"/>
      <c r="N67"/>
      <c r="O67"/>
      <c r="P67"/>
    </row>
    <row r="68" spans="1:16" ht="31.5" x14ac:dyDescent="0.35">
      <c r="A68" s="671"/>
      <c r="B68" s="673" t="s">
        <v>305</v>
      </c>
      <c r="C68" s="676"/>
      <c r="D68" s="675">
        <v>14760000</v>
      </c>
      <c r="E68" s="402"/>
      <c r="F68" s="16"/>
      <c r="G68" s="16"/>
      <c r="H68" s="16"/>
      <c r="I68" s="660"/>
      <c r="J68" s="16"/>
      <c r="K68" s="16"/>
      <c r="L68" s="16"/>
      <c r="M68" s="16"/>
      <c r="N68"/>
      <c r="O68"/>
      <c r="P68"/>
    </row>
    <row r="69" spans="1:16" ht="46.5" x14ac:dyDescent="0.35">
      <c r="A69" s="671"/>
      <c r="B69" s="673" t="s">
        <v>306</v>
      </c>
      <c r="C69" s="676"/>
      <c r="D69" s="675">
        <v>70640000</v>
      </c>
      <c r="E69" s="402"/>
      <c r="F69" s="16"/>
      <c r="G69" s="16"/>
      <c r="H69" s="16"/>
      <c r="I69" s="660"/>
      <c r="J69" s="16"/>
      <c r="K69" s="16"/>
      <c r="L69" s="16"/>
      <c r="M69" s="16"/>
      <c r="N69"/>
      <c r="O69"/>
      <c r="P69"/>
    </row>
    <row r="70" spans="1:16" ht="46.5" x14ac:dyDescent="0.35">
      <c r="A70" s="671"/>
      <c r="B70" s="673" t="s">
        <v>343</v>
      </c>
      <c r="C70" s="676"/>
      <c r="D70" s="675">
        <f>'CMO - SPPA'!G269</f>
        <v>3000000</v>
      </c>
      <c r="E70" s="402"/>
      <c r="F70" s="16"/>
      <c r="G70" s="16"/>
      <c r="H70" s="16"/>
      <c r="I70" s="660"/>
      <c r="J70" s="16"/>
      <c r="K70" s="16"/>
      <c r="L70" s="16"/>
      <c r="M70" s="16"/>
      <c r="N70"/>
      <c r="O70"/>
      <c r="P70"/>
    </row>
    <row r="71" spans="1:16" ht="31.5" x14ac:dyDescent="0.35">
      <c r="A71" s="671"/>
      <c r="B71" s="673" t="s">
        <v>352</v>
      </c>
      <c r="C71" s="676"/>
      <c r="D71" s="675">
        <v>5000000</v>
      </c>
      <c r="E71" s="402" t="s">
        <v>603</v>
      </c>
      <c r="F71" s="16"/>
      <c r="G71" s="16"/>
      <c r="H71" s="16"/>
      <c r="I71" s="660"/>
      <c r="J71" s="16"/>
      <c r="K71" s="16"/>
      <c r="L71" s="16"/>
      <c r="M71" s="16"/>
      <c r="N71"/>
      <c r="O71"/>
      <c r="P71"/>
    </row>
    <row r="72" spans="1:16" ht="31.5" x14ac:dyDescent="0.35">
      <c r="A72" s="671"/>
      <c r="B72" s="673" t="s">
        <v>353</v>
      </c>
      <c r="C72" s="676"/>
      <c r="D72" s="675">
        <v>5000000</v>
      </c>
      <c r="E72" s="402"/>
      <c r="F72" s="16"/>
      <c r="G72" s="16"/>
      <c r="H72" s="16"/>
      <c r="I72" s="660"/>
      <c r="J72" s="16"/>
      <c r="K72" s="16"/>
      <c r="L72" s="16"/>
      <c r="M72" s="16"/>
      <c r="N72"/>
      <c r="O72"/>
      <c r="P72"/>
    </row>
    <row r="73" spans="1:16" x14ac:dyDescent="0.35">
      <c r="A73" s="671"/>
      <c r="B73" s="673"/>
      <c r="C73" s="677" t="s">
        <v>245</v>
      </c>
      <c r="D73" s="678">
        <f>SUM(D63:D72)</f>
        <v>294861000</v>
      </c>
      <c r="E73" s="402" t="s">
        <v>624</v>
      </c>
      <c r="F73" s="16"/>
      <c r="G73" s="16"/>
      <c r="H73" s="16"/>
      <c r="I73" s="660"/>
      <c r="J73" s="16"/>
      <c r="K73" s="16"/>
      <c r="L73" s="16"/>
      <c r="M73" s="16"/>
      <c r="N73"/>
      <c r="O73"/>
      <c r="P73"/>
    </row>
    <row r="74" spans="1:16" x14ac:dyDescent="0.35">
      <c r="A74" s="367"/>
      <c r="B74" s="670"/>
      <c r="C74" s="367"/>
      <c r="D74" s="679">
        <v>11400000</v>
      </c>
      <c r="E74" s="16"/>
      <c r="F74" s="16"/>
      <c r="G74" s="16"/>
      <c r="H74" s="16"/>
      <c r="I74" s="660"/>
      <c r="J74" s="16"/>
      <c r="K74" s="16"/>
      <c r="L74" s="16"/>
      <c r="M74" s="16"/>
      <c r="N74"/>
      <c r="O74"/>
      <c r="P74"/>
    </row>
    <row r="75" spans="1:16" x14ac:dyDescent="0.35">
      <c r="A75" s="367"/>
      <c r="B75" s="670"/>
      <c r="C75" s="367"/>
      <c r="D75" s="445">
        <f>+D73+D74</f>
        <v>306261000</v>
      </c>
      <c r="E75" s="16" t="s">
        <v>623</v>
      </c>
      <c r="F75" s="16"/>
      <c r="G75" s="16"/>
      <c r="H75" s="16"/>
      <c r="I75" s="660"/>
      <c r="J75" s="16"/>
      <c r="K75" s="16"/>
      <c r="L75" s="16"/>
      <c r="M75" s="16"/>
      <c r="N75"/>
      <c r="O75"/>
      <c r="P75"/>
    </row>
    <row r="76" spans="1:16" x14ac:dyDescent="0.35">
      <c r="A76" s="367"/>
      <c r="B76" s="670"/>
      <c r="C76" s="367"/>
      <c r="D76" s="16"/>
      <c r="E76" s="16"/>
      <c r="F76" s="16"/>
      <c r="G76" s="16"/>
      <c r="H76" s="16"/>
      <c r="I76" s="660"/>
      <c r="J76" s="16"/>
      <c r="K76" s="16"/>
      <c r="L76" s="16"/>
      <c r="M76" s="16"/>
      <c r="N76"/>
      <c r="O76"/>
      <c r="P76"/>
    </row>
    <row r="77" spans="1:16" x14ac:dyDescent="0.35">
      <c r="A77" s="367"/>
      <c r="B77" s="670"/>
      <c r="C77" s="367"/>
      <c r="D77" s="16"/>
      <c r="E77" s="16"/>
      <c r="F77" s="16"/>
      <c r="G77" s="16"/>
      <c r="H77" s="16"/>
      <c r="I77" s="660"/>
      <c r="J77" s="16"/>
      <c r="K77" s="16"/>
      <c r="L77" s="16"/>
      <c r="M77" s="16"/>
      <c r="N77"/>
      <c r="O77"/>
      <c r="P77"/>
    </row>
    <row r="78" spans="1:16" x14ac:dyDescent="0.35">
      <c r="A78" s="367"/>
      <c r="B78" s="670"/>
      <c r="C78" s="367"/>
      <c r="D78" s="16"/>
      <c r="E78" s="16"/>
      <c r="F78" s="16"/>
      <c r="G78" s="16"/>
      <c r="H78" s="16"/>
      <c r="I78" s="660"/>
      <c r="J78" s="16"/>
      <c r="K78" s="16"/>
      <c r="L78" s="16"/>
      <c r="M78" s="16"/>
      <c r="N78"/>
      <c r="O78"/>
      <c r="P78"/>
    </row>
    <row r="79" spans="1:16" x14ac:dyDescent="0.35">
      <c r="A79" s="367"/>
      <c r="B79" s="670"/>
      <c r="C79" s="367"/>
      <c r="D79" s="16"/>
      <c r="E79" s="16"/>
      <c r="F79" s="16"/>
      <c r="G79" s="16"/>
      <c r="H79" s="16"/>
      <c r="I79" s="660"/>
      <c r="J79" s="16"/>
      <c r="K79" s="16"/>
      <c r="L79" s="16"/>
      <c r="M79" s="16"/>
      <c r="N79"/>
      <c r="O79"/>
      <c r="P79"/>
    </row>
    <row r="80" spans="1:16" x14ac:dyDescent="0.35">
      <c r="A80" s="367"/>
      <c r="B80" s="670"/>
      <c r="C80" s="367"/>
      <c r="D80" s="16"/>
      <c r="E80" s="16"/>
      <c r="F80" s="16"/>
      <c r="G80" s="16"/>
      <c r="H80" s="16"/>
      <c r="I80" s="660"/>
      <c r="J80" s="16"/>
      <c r="K80" s="16"/>
      <c r="L80" s="16"/>
      <c r="M80" s="16"/>
      <c r="N80"/>
      <c r="O80"/>
      <c r="P80"/>
    </row>
    <row r="81" spans="1:16" x14ac:dyDescent="0.35">
      <c r="A81" s="367"/>
      <c r="B81" s="670"/>
      <c r="C81" s="367"/>
      <c r="D81" s="16"/>
      <c r="E81" s="16"/>
      <c r="F81" s="16"/>
      <c r="G81" s="16"/>
      <c r="H81" s="16"/>
      <c r="I81" s="660"/>
      <c r="J81" s="16"/>
      <c r="K81" s="16"/>
      <c r="L81" s="16"/>
      <c r="M81" s="16"/>
      <c r="N81"/>
      <c r="O81"/>
      <c r="P81"/>
    </row>
    <row r="82" spans="1:16" x14ac:dyDescent="0.35">
      <c r="A82" s="367"/>
      <c r="B82" s="670"/>
      <c r="C82" s="367"/>
      <c r="D82" s="16"/>
      <c r="E82" s="16"/>
      <c r="F82" s="16"/>
      <c r="G82" s="16"/>
      <c r="H82" s="16"/>
      <c r="I82" s="660"/>
      <c r="J82" s="16"/>
      <c r="K82" s="16"/>
      <c r="L82" s="16"/>
      <c r="M82" s="16"/>
      <c r="N82"/>
      <c r="O82"/>
      <c r="P82"/>
    </row>
    <row r="83" spans="1:16" x14ac:dyDescent="0.35">
      <c r="A83" s="367"/>
      <c r="B83" s="670"/>
      <c r="C83" s="367"/>
      <c r="D83" s="16"/>
      <c r="E83" s="16"/>
      <c r="F83" s="16"/>
      <c r="G83" s="16"/>
      <c r="H83" s="16"/>
      <c r="I83" s="660"/>
      <c r="J83" s="16"/>
      <c r="K83" s="16"/>
      <c r="L83" s="16"/>
      <c r="M83" s="16"/>
      <c r="N83"/>
      <c r="O83"/>
      <c r="P83"/>
    </row>
    <row r="84" spans="1:16" x14ac:dyDescent="0.35">
      <c r="A84" s="367"/>
      <c r="B84" s="670"/>
      <c r="C84" s="367"/>
      <c r="D84" s="16"/>
      <c r="E84" s="16"/>
      <c r="F84" s="16"/>
      <c r="G84" s="16"/>
      <c r="H84" s="16"/>
      <c r="I84" s="660"/>
      <c r="J84" s="16"/>
      <c r="K84" s="16"/>
      <c r="L84" s="16"/>
      <c r="M84" s="16"/>
      <c r="N84"/>
      <c r="O84"/>
      <c r="P84"/>
    </row>
    <row r="85" spans="1:16" x14ac:dyDescent="0.35">
      <c r="A85" s="367"/>
      <c r="B85" s="670"/>
      <c r="C85" s="367"/>
      <c r="D85" s="16"/>
      <c r="E85" s="16"/>
      <c r="F85" s="16"/>
      <c r="G85" s="16"/>
      <c r="H85" s="16"/>
      <c r="I85" s="660"/>
      <c r="J85" s="16"/>
      <c r="K85" s="16"/>
      <c r="L85" s="16"/>
      <c r="M85" s="16"/>
      <c r="N85"/>
      <c r="O85"/>
      <c r="P85"/>
    </row>
    <row r="86" spans="1:16" x14ac:dyDescent="0.35">
      <c r="A86" s="367"/>
      <c r="B86" s="670"/>
      <c r="C86" s="367"/>
      <c r="D86" s="16"/>
      <c r="E86" s="16"/>
      <c r="F86" s="16"/>
      <c r="G86" s="16"/>
      <c r="H86" s="16"/>
      <c r="I86" s="660"/>
      <c r="J86" s="16"/>
      <c r="K86" s="16"/>
      <c r="L86" s="16"/>
      <c r="M86" s="16"/>
      <c r="N86"/>
      <c r="O86"/>
      <c r="P86"/>
    </row>
    <row r="87" spans="1:16" x14ac:dyDescent="0.35">
      <c r="A87" s="367"/>
      <c r="B87" s="670"/>
      <c r="C87" s="367"/>
      <c r="D87" s="16"/>
      <c r="E87" s="16"/>
      <c r="F87" s="16"/>
      <c r="G87" s="16"/>
      <c r="H87" s="16"/>
      <c r="I87" s="660"/>
      <c r="J87" s="16"/>
      <c r="K87" s="16"/>
      <c r="L87" s="16"/>
      <c r="M87" s="16"/>
      <c r="N87"/>
      <c r="O87"/>
      <c r="P87"/>
    </row>
    <row r="88" spans="1:16" x14ac:dyDescent="0.35">
      <c r="A88" s="367"/>
      <c r="B88" s="670"/>
      <c r="C88" s="367"/>
      <c r="D88" s="16"/>
      <c r="E88" s="16"/>
      <c r="F88" s="16"/>
      <c r="G88" s="16"/>
      <c r="H88" s="16"/>
      <c r="I88" s="660"/>
      <c r="J88" s="16"/>
      <c r="K88" s="16"/>
      <c r="L88" s="16"/>
      <c r="M88" s="16"/>
      <c r="N88"/>
      <c r="O88"/>
      <c r="P88"/>
    </row>
    <row r="89" spans="1:16" x14ac:dyDescent="0.35">
      <c r="A89" s="367"/>
      <c r="B89" s="670"/>
      <c r="C89" s="367"/>
      <c r="D89" s="16"/>
      <c r="E89" s="16"/>
      <c r="F89" s="16"/>
      <c r="G89" s="16"/>
      <c r="H89" s="16"/>
      <c r="I89" s="660"/>
      <c r="J89" s="16"/>
      <c r="K89" s="16"/>
      <c r="L89" s="16"/>
      <c r="M89" s="16"/>
      <c r="N89"/>
      <c r="O89"/>
      <c r="P89"/>
    </row>
    <row r="90" spans="1:16" x14ac:dyDescent="0.35">
      <c r="A90" s="367"/>
      <c r="B90" s="670"/>
      <c r="C90" s="367"/>
      <c r="D90" s="16"/>
      <c r="E90" s="16"/>
      <c r="F90" s="16"/>
      <c r="G90" s="16"/>
      <c r="H90" s="16"/>
      <c r="I90" s="660"/>
      <c r="J90" s="16"/>
      <c r="K90" s="16"/>
      <c r="L90" s="16"/>
      <c r="M90" s="16"/>
      <c r="N90"/>
      <c r="O90"/>
      <c r="P90"/>
    </row>
    <row r="91" spans="1:16" x14ac:dyDescent="0.35">
      <c r="A91" s="367"/>
      <c r="B91" s="670"/>
      <c r="C91" s="367"/>
      <c r="D91" s="16"/>
      <c r="E91" s="16"/>
      <c r="F91" s="16"/>
      <c r="G91" s="16"/>
      <c r="H91" s="16"/>
      <c r="I91" s="660"/>
      <c r="J91" s="16"/>
      <c r="K91" s="16"/>
      <c r="L91" s="16"/>
      <c r="M91" s="16"/>
      <c r="N91"/>
      <c r="O91"/>
      <c r="P91"/>
    </row>
    <row r="92" spans="1:16" x14ac:dyDescent="0.35">
      <c r="A92" s="367"/>
      <c r="B92" s="670"/>
      <c r="C92" s="367"/>
      <c r="D92" s="16"/>
      <c r="E92" s="16"/>
      <c r="F92" s="16"/>
      <c r="G92" s="16"/>
      <c r="H92" s="16"/>
      <c r="I92" s="660"/>
      <c r="J92" s="16"/>
      <c r="K92" s="16"/>
      <c r="L92" s="16"/>
      <c r="M92" s="16"/>
      <c r="N92"/>
      <c r="O92"/>
      <c r="P92"/>
    </row>
    <row r="93" spans="1:16" x14ac:dyDescent="0.35">
      <c r="A93" s="367"/>
      <c r="B93" s="670"/>
      <c r="C93" s="367"/>
      <c r="D93" s="16"/>
      <c r="E93" s="16"/>
      <c r="F93" s="16"/>
      <c r="G93" s="16"/>
      <c r="H93" s="16"/>
      <c r="I93" s="660"/>
      <c r="J93" s="16"/>
      <c r="K93" s="16"/>
      <c r="L93" s="16"/>
      <c r="M93" s="16"/>
      <c r="N93"/>
      <c r="O93"/>
      <c r="P93"/>
    </row>
    <row r="94" spans="1:16" x14ac:dyDescent="0.35">
      <c r="A94" s="367"/>
      <c r="B94" s="670"/>
      <c r="C94" s="367"/>
      <c r="D94" s="16"/>
      <c r="E94" s="16"/>
      <c r="F94" s="16"/>
      <c r="G94" s="16"/>
      <c r="H94" s="16"/>
      <c r="I94" s="660"/>
      <c r="J94" s="16"/>
      <c r="K94" s="16"/>
      <c r="L94" s="16"/>
      <c r="M94" s="16"/>
      <c r="N94"/>
      <c r="O94"/>
      <c r="P94"/>
    </row>
    <row r="95" spans="1:16" x14ac:dyDescent="0.35">
      <c r="A95" s="367"/>
      <c r="B95" s="670"/>
      <c r="C95" s="367"/>
      <c r="D95" s="16"/>
      <c r="E95" s="16"/>
      <c r="F95" s="16"/>
      <c r="G95" s="16"/>
      <c r="H95" s="16"/>
      <c r="I95" s="660"/>
      <c r="J95" s="16"/>
      <c r="K95" s="16"/>
      <c r="L95" s="16"/>
      <c r="M95" s="16"/>
      <c r="N95"/>
      <c r="O95"/>
      <c r="P95"/>
    </row>
    <row r="96" spans="1:16" x14ac:dyDescent="0.35">
      <c r="A96" s="367"/>
      <c r="B96" s="670"/>
      <c r="C96" s="367"/>
      <c r="D96" s="16"/>
      <c r="E96" s="16"/>
      <c r="F96" s="16"/>
      <c r="G96" s="16"/>
      <c r="H96" s="16"/>
      <c r="I96" s="660"/>
      <c r="J96" s="16"/>
      <c r="K96" s="16"/>
      <c r="L96" s="16"/>
      <c r="M96" s="16"/>
      <c r="N96"/>
      <c r="O96"/>
      <c r="P96"/>
    </row>
    <row r="97" spans="1:16" x14ac:dyDescent="0.35">
      <c r="A97" s="367"/>
      <c r="B97" s="670"/>
      <c r="C97" s="367"/>
      <c r="D97" s="16"/>
      <c r="E97" s="16"/>
      <c r="F97" s="16"/>
      <c r="G97" s="16"/>
      <c r="H97" s="16"/>
      <c r="I97" s="660"/>
      <c r="J97" s="16"/>
      <c r="K97" s="16"/>
      <c r="L97" s="16"/>
      <c r="M97" s="16"/>
      <c r="N97"/>
      <c r="O97"/>
      <c r="P97"/>
    </row>
    <row r="98" spans="1:16" x14ac:dyDescent="0.35">
      <c r="A98" s="367"/>
      <c r="B98" s="670"/>
      <c r="C98" s="367"/>
      <c r="D98" s="16"/>
      <c r="E98" s="16"/>
      <c r="F98" s="16"/>
      <c r="G98" s="16"/>
      <c r="H98" s="16"/>
      <c r="I98" s="660"/>
      <c r="J98" s="16"/>
      <c r="K98" s="16"/>
      <c r="L98" s="16"/>
      <c r="M98" s="16"/>
      <c r="N98"/>
      <c r="O98"/>
      <c r="P98"/>
    </row>
    <row r="99" spans="1:16" x14ac:dyDescent="0.35">
      <c r="A99" s="367"/>
      <c r="B99" s="670"/>
      <c r="C99" s="367"/>
      <c r="D99" s="16"/>
      <c r="E99" s="16"/>
      <c r="F99" s="16"/>
      <c r="G99" s="16"/>
      <c r="H99" s="16"/>
      <c r="I99" s="660"/>
      <c r="J99" s="16"/>
      <c r="K99" s="16"/>
      <c r="L99" s="16"/>
      <c r="M99" s="16"/>
      <c r="N99"/>
      <c r="O99"/>
      <c r="P99"/>
    </row>
    <row r="100" spans="1:16" ht="38.25" customHeight="1" x14ac:dyDescent="0.35">
      <c r="A100" s="367"/>
      <c r="B100" s="670"/>
      <c r="C100" s="367"/>
      <c r="D100" s="16"/>
      <c r="E100" s="16"/>
      <c r="F100" s="16"/>
      <c r="G100" s="16"/>
      <c r="H100" s="16"/>
      <c r="I100" s="660"/>
      <c r="J100" s="16"/>
      <c r="K100" s="16"/>
      <c r="L100" s="16"/>
      <c r="M100" s="16"/>
      <c r="N100"/>
      <c r="O100"/>
      <c r="P100"/>
    </row>
    <row r="101" spans="1:16" x14ac:dyDescent="0.35">
      <c r="A101" s="367"/>
      <c r="B101" s="670"/>
      <c r="C101" s="367"/>
      <c r="D101" s="16"/>
      <c r="E101" s="16"/>
      <c r="F101" s="16"/>
      <c r="G101" s="16"/>
      <c r="H101" s="16"/>
      <c r="I101" s="660"/>
      <c r="J101" s="16"/>
      <c r="K101" s="16"/>
      <c r="L101" s="16"/>
      <c r="M101" s="16"/>
      <c r="N101"/>
      <c r="O101"/>
      <c r="P101"/>
    </row>
    <row r="102" spans="1:16" x14ac:dyDescent="0.35">
      <c r="A102" s="367"/>
      <c r="B102" s="670"/>
      <c r="C102" s="367"/>
      <c r="D102" s="16"/>
      <c r="E102" s="16"/>
      <c r="F102" s="16"/>
      <c r="G102" s="16"/>
      <c r="H102" s="16"/>
      <c r="I102" s="660"/>
      <c r="J102" s="16"/>
      <c r="K102" s="16"/>
      <c r="L102" s="16"/>
      <c r="M102" s="16"/>
      <c r="N102"/>
      <c r="O102"/>
      <c r="P102"/>
    </row>
    <row r="103" spans="1:16" x14ac:dyDescent="0.35">
      <c r="A103" s="367"/>
      <c r="B103" s="670"/>
      <c r="C103" s="367"/>
      <c r="D103" s="16"/>
      <c r="E103" s="16"/>
      <c r="F103" s="16"/>
      <c r="G103" s="16"/>
      <c r="H103" s="16"/>
      <c r="I103" s="660"/>
      <c r="J103" s="16"/>
      <c r="K103" s="16"/>
      <c r="L103" s="16"/>
      <c r="M103" s="16"/>
      <c r="N103"/>
      <c r="O103"/>
      <c r="P103"/>
    </row>
    <row r="104" spans="1:16" x14ac:dyDescent="0.35">
      <c r="A104" s="367"/>
      <c r="B104" s="670"/>
      <c r="C104" s="367"/>
      <c r="D104" s="16"/>
      <c r="E104" s="16"/>
      <c r="F104" s="16"/>
      <c r="G104" s="16"/>
      <c r="H104" s="16"/>
      <c r="I104" s="660"/>
      <c r="J104" s="16"/>
      <c r="K104" s="16"/>
      <c r="L104" s="16"/>
      <c r="M104" s="16"/>
      <c r="N104"/>
      <c r="O104"/>
      <c r="P104"/>
    </row>
    <row r="105" spans="1:16" x14ac:dyDescent="0.35">
      <c r="A105" s="367"/>
      <c r="B105" s="355"/>
      <c r="C105" s="367"/>
      <c r="D105" s="16"/>
      <c r="E105" s="16"/>
      <c r="F105" s="16"/>
      <c r="G105" s="16"/>
      <c r="H105" s="16"/>
      <c r="I105" s="660"/>
      <c r="J105" s="16"/>
      <c r="K105" s="16"/>
      <c r="L105" s="16"/>
      <c r="M105" s="16"/>
      <c r="N105"/>
      <c r="O105"/>
      <c r="P105"/>
    </row>
    <row r="106" spans="1:16" x14ac:dyDescent="0.35">
      <c r="A106" s="367"/>
      <c r="B106" s="670"/>
      <c r="C106" s="367"/>
      <c r="D106" s="16"/>
      <c r="E106" s="16"/>
      <c r="F106" s="16"/>
      <c r="G106" s="16"/>
      <c r="H106" s="16"/>
      <c r="I106" s="660"/>
      <c r="J106" s="16"/>
      <c r="K106" s="16"/>
      <c r="L106" s="16"/>
      <c r="M106" s="16"/>
      <c r="N106"/>
      <c r="O106"/>
      <c r="P106"/>
    </row>
    <row r="107" spans="1:16" x14ac:dyDescent="0.35">
      <c r="A107" s="367"/>
      <c r="B107" s="670"/>
      <c r="C107" s="367"/>
      <c r="D107" s="16"/>
      <c r="E107" s="16"/>
      <c r="F107" s="16"/>
      <c r="G107" s="16"/>
      <c r="H107" s="16"/>
      <c r="I107" s="660"/>
      <c r="J107" s="16"/>
      <c r="K107" s="16"/>
      <c r="L107" s="16"/>
      <c r="M107" s="16"/>
      <c r="N107"/>
      <c r="O107"/>
      <c r="P107"/>
    </row>
    <row r="108" spans="1:16" x14ac:dyDescent="0.35">
      <c r="A108" s="367"/>
      <c r="B108" s="670"/>
      <c r="C108" s="367"/>
      <c r="D108" s="16"/>
      <c r="E108" s="16"/>
      <c r="F108" s="16"/>
      <c r="G108" s="16"/>
      <c r="H108" s="16"/>
      <c r="I108" s="660"/>
      <c r="J108" s="16"/>
      <c r="K108" s="16"/>
      <c r="L108" s="16"/>
      <c r="M108" s="16"/>
      <c r="N108"/>
      <c r="O108"/>
      <c r="P108"/>
    </row>
    <row r="109" spans="1:16" x14ac:dyDescent="0.35">
      <c r="C109" s="4"/>
      <c r="D109"/>
      <c r="E109"/>
      <c r="F109"/>
      <c r="G109"/>
      <c r="H109"/>
      <c r="I109" s="36"/>
      <c r="K109"/>
      <c r="L109"/>
      <c r="M109"/>
      <c r="N109"/>
      <c r="O109"/>
      <c r="P109"/>
    </row>
    <row r="110" spans="1:16" x14ac:dyDescent="0.35">
      <c r="C110" s="4"/>
      <c r="D110"/>
      <c r="E110"/>
      <c r="F110"/>
      <c r="G110"/>
      <c r="H110"/>
      <c r="I110" s="36"/>
      <c r="K110"/>
      <c r="L110"/>
      <c r="M110"/>
      <c r="N110"/>
      <c r="O110"/>
      <c r="P110"/>
    </row>
    <row r="111" spans="1:16" x14ac:dyDescent="0.35">
      <c r="C111" s="4"/>
      <c r="D111"/>
      <c r="E111"/>
      <c r="F111"/>
      <c r="G111"/>
      <c r="H111"/>
      <c r="I111" s="36"/>
      <c r="K111"/>
      <c r="L111"/>
      <c r="M111"/>
      <c r="N111"/>
      <c r="O111"/>
      <c r="P111"/>
    </row>
    <row r="112" spans="1:16" x14ac:dyDescent="0.35">
      <c r="C112" s="4"/>
      <c r="D112"/>
      <c r="E112"/>
      <c r="F112"/>
      <c r="G112"/>
      <c r="H112"/>
      <c r="I112" s="36"/>
      <c r="K112"/>
      <c r="L112"/>
      <c r="M112"/>
      <c r="N112"/>
      <c r="O112"/>
      <c r="P112"/>
    </row>
    <row r="113" spans="3:16" x14ac:dyDescent="0.35">
      <c r="C113" s="4"/>
      <c r="D113"/>
      <c r="E113"/>
      <c r="F113"/>
      <c r="G113"/>
      <c r="H113"/>
      <c r="I113" s="36"/>
      <c r="K113"/>
      <c r="L113"/>
      <c r="M113"/>
      <c r="N113"/>
      <c r="O113"/>
      <c r="P113"/>
    </row>
    <row r="114" spans="3:16" x14ac:dyDescent="0.35">
      <c r="C114" s="4"/>
      <c r="D114"/>
      <c r="E114"/>
      <c r="F114"/>
      <c r="G114"/>
      <c r="H114"/>
      <c r="I114" s="36"/>
      <c r="K114"/>
      <c r="L114"/>
      <c r="M114"/>
      <c r="N114"/>
      <c r="O114"/>
      <c r="P114"/>
    </row>
    <row r="115" spans="3:16" x14ac:dyDescent="0.35">
      <c r="C115" s="4"/>
      <c r="D115"/>
      <c r="E115"/>
      <c r="F115"/>
      <c r="G115"/>
      <c r="H115"/>
      <c r="I115" s="36"/>
      <c r="K115"/>
      <c r="L115"/>
      <c r="M115"/>
      <c r="N115"/>
      <c r="O115"/>
      <c r="P115"/>
    </row>
    <row r="116" spans="3:16" x14ac:dyDescent="0.35">
      <c r="C116" s="4"/>
      <c r="D116"/>
      <c r="E116"/>
      <c r="F116"/>
      <c r="G116"/>
      <c r="H116"/>
      <c r="I116" s="36"/>
      <c r="K116"/>
      <c r="L116"/>
      <c r="M116"/>
      <c r="N116"/>
      <c r="O116"/>
      <c r="P116"/>
    </row>
    <row r="117" spans="3:16" x14ac:dyDescent="0.35">
      <c r="C117" s="4"/>
      <c r="D117"/>
      <c r="E117"/>
      <c r="F117"/>
      <c r="G117"/>
      <c r="H117"/>
      <c r="I117" s="36"/>
      <c r="K117"/>
      <c r="L117"/>
      <c r="M117"/>
      <c r="N117"/>
      <c r="O117"/>
      <c r="P117"/>
    </row>
    <row r="118" spans="3:16" x14ac:dyDescent="0.35">
      <c r="C118" s="4"/>
      <c r="D118"/>
      <c r="E118"/>
      <c r="F118"/>
      <c r="G118"/>
      <c r="H118"/>
      <c r="I118" s="36"/>
      <c r="K118"/>
      <c r="L118"/>
      <c r="M118"/>
      <c r="N118"/>
      <c r="O118"/>
      <c r="P118"/>
    </row>
    <row r="119" spans="3:16" x14ac:dyDescent="0.35">
      <c r="C119" s="4"/>
      <c r="D119"/>
      <c r="E119"/>
      <c r="F119"/>
      <c r="G119"/>
      <c r="H119"/>
      <c r="I119" s="36"/>
      <c r="K119"/>
      <c r="L119"/>
      <c r="M119"/>
      <c r="N119"/>
      <c r="O119"/>
      <c r="P119"/>
    </row>
    <row r="120" spans="3:16" x14ac:dyDescent="0.35">
      <c r="C120" s="4"/>
      <c r="D120"/>
      <c r="E120"/>
      <c r="F120"/>
      <c r="G120"/>
      <c r="H120"/>
      <c r="I120" s="36"/>
      <c r="K120"/>
      <c r="L120"/>
      <c r="M120"/>
      <c r="N120"/>
      <c r="O120"/>
      <c r="P120"/>
    </row>
    <row r="121" spans="3:16" x14ac:dyDescent="0.35">
      <c r="C121" s="4"/>
      <c r="D121"/>
      <c r="E121"/>
      <c r="F121"/>
      <c r="G121"/>
      <c r="H121"/>
      <c r="I121" s="36"/>
      <c r="K121"/>
      <c r="L121"/>
      <c r="M121"/>
      <c r="N121"/>
      <c r="O121"/>
      <c r="P121"/>
    </row>
    <row r="122" spans="3:16" x14ac:dyDescent="0.35">
      <c r="C122" s="4"/>
      <c r="D122"/>
      <c r="E122"/>
      <c r="F122"/>
      <c r="G122"/>
      <c r="H122"/>
      <c r="I122" s="36"/>
      <c r="K122"/>
      <c r="L122"/>
      <c r="M122"/>
      <c r="N122"/>
      <c r="O122"/>
      <c r="P122"/>
    </row>
    <row r="123" spans="3:16" x14ac:dyDescent="0.35">
      <c r="C123" s="4"/>
      <c r="D123"/>
      <c r="E123"/>
      <c r="F123"/>
      <c r="G123"/>
      <c r="H123"/>
      <c r="I123" s="36"/>
      <c r="K123"/>
      <c r="L123"/>
      <c r="M123"/>
      <c r="N123"/>
      <c r="O123"/>
      <c r="P123"/>
    </row>
    <row r="124" spans="3:16" x14ac:dyDescent="0.35">
      <c r="C124" s="4"/>
      <c r="D124"/>
      <c r="E124"/>
      <c r="F124"/>
      <c r="G124"/>
      <c r="H124"/>
      <c r="I124" s="36"/>
      <c r="K124"/>
      <c r="L124"/>
      <c r="M124"/>
      <c r="N124"/>
      <c r="O124"/>
      <c r="P124"/>
    </row>
    <row r="125" spans="3:16" x14ac:dyDescent="0.35">
      <c r="C125" s="4"/>
      <c r="D125"/>
      <c r="E125"/>
      <c r="F125"/>
      <c r="G125"/>
      <c r="H125"/>
      <c r="I125" s="36"/>
      <c r="K125"/>
      <c r="L125"/>
      <c r="M125"/>
      <c r="N125"/>
      <c r="O125"/>
      <c r="P125"/>
    </row>
    <row r="126" spans="3:16" x14ac:dyDescent="0.35">
      <c r="C126" s="4"/>
      <c r="D126"/>
      <c r="E126"/>
      <c r="F126"/>
      <c r="G126"/>
      <c r="H126"/>
      <c r="I126" s="36"/>
      <c r="K126"/>
      <c r="L126"/>
      <c r="M126"/>
      <c r="N126"/>
      <c r="O126"/>
      <c r="P126"/>
    </row>
    <row r="127" spans="3:16" x14ac:dyDescent="0.35">
      <c r="C127" s="4"/>
      <c r="D127"/>
      <c r="E127"/>
      <c r="F127"/>
      <c r="G127"/>
      <c r="H127"/>
      <c r="I127" s="36"/>
      <c r="K127"/>
      <c r="L127"/>
      <c r="M127"/>
      <c r="N127"/>
      <c r="O127"/>
      <c r="P127"/>
    </row>
    <row r="128" spans="3:16" x14ac:dyDescent="0.35">
      <c r="C128" s="4"/>
      <c r="D128"/>
      <c r="E128"/>
      <c r="F128"/>
      <c r="G128"/>
      <c r="H128"/>
      <c r="I128" s="36"/>
      <c r="K128"/>
      <c r="L128"/>
      <c r="M128"/>
      <c r="N128"/>
      <c r="O128"/>
      <c r="P128"/>
    </row>
    <row r="129" spans="2:16" x14ac:dyDescent="0.35">
      <c r="C129" s="4"/>
      <c r="D129"/>
      <c r="E129"/>
      <c r="F129"/>
      <c r="G129"/>
      <c r="H129"/>
      <c r="I129" s="36"/>
      <c r="K129"/>
      <c r="L129"/>
      <c r="M129"/>
      <c r="N129"/>
      <c r="O129"/>
      <c r="P129"/>
    </row>
    <row r="130" spans="2:16" x14ac:dyDescent="0.35">
      <c r="C130" s="4"/>
      <c r="D130"/>
      <c r="E130"/>
      <c r="F130"/>
      <c r="G130"/>
      <c r="H130"/>
      <c r="I130" s="36"/>
      <c r="K130"/>
      <c r="L130"/>
      <c r="M130"/>
      <c r="N130"/>
      <c r="O130"/>
      <c r="P130"/>
    </row>
    <row r="131" spans="2:16" x14ac:dyDescent="0.35">
      <c r="C131" s="4"/>
      <c r="D131"/>
      <c r="E131"/>
      <c r="F131"/>
      <c r="G131"/>
      <c r="H131"/>
      <c r="I131" s="36"/>
      <c r="K131"/>
      <c r="L131"/>
      <c r="M131"/>
      <c r="N131"/>
      <c r="O131"/>
      <c r="P131"/>
    </row>
    <row r="132" spans="2:16" x14ac:dyDescent="0.35">
      <c r="C132" s="4"/>
      <c r="D132"/>
      <c r="E132"/>
      <c r="F132"/>
      <c r="G132"/>
      <c r="H132"/>
      <c r="I132" s="36"/>
      <c r="K132"/>
      <c r="L132"/>
      <c r="M132"/>
      <c r="N132"/>
      <c r="O132"/>
      <c r="P132"/>
    </row>
    <row r="133" spans="2:16" x14ac:dyDescent="0.35">
      <c r="B133" s="5" t="s">
        <v>289</v>
      </c>
      <c r="C133" s="20">
        <v>663578783</v>
      </c>
      <c r="D133"/>
      <c r="E133"/>
      <c r="F133"/>
      <c r="G133"/>
      <c r="H133"/>
      <c r="I133" s="36"/>
      <c r="K133"/>
      <c r="L133"/>
      <c r="M133"/>
      <c r="N133"/>
      <c r="O133"/>
      <c r="P133"/>
    </row>
    <row r="134" spans="2:16" x14ac:dyDescent="0.35">
      <c r="B134" s="5" t="s">
        <v>290</v>
      </c>
      <c r="C134" s="20">
        <v>730845000</v>
      </c>
      <c r="D134"/>
      <c r="E134"/>
      <c r="F134"/>
      <c r="G134"/>
      <c r="H134"/>
      <c r="I134" s="36"/>
      <c r="K134"/>
      <c r="L134"/>
      <c r="M134"/>
      <c r="N134"/>
      <c r="O134"/>
      <c r="P134"/>
    </row>
    <row r="135" spans="2:16" ht="21.75" thickBot="1" x14ac:dyDescent="0.4">
      <c r="B135" s="5" t="s">
        <v>291</v>
      </c>
      <c r="C135" s="21">
        <f>+C134-C133</f>
        <v>67266217</v>
      </c>
      <c r="D135"/>
      <c r="E135"/>
      <c r="F135"/>
      <c r="G135"/>
      <c r="H135"/>
      <c r="I135" s="36"/>
      <c r="K135"/>
      <c r="L135"/>
      <c r="M135"/>
      <c r="N135"/>
      <c r="O135"/>
      <c r="P135"/>
    </row>
    <row r="136" spans="2:16" ht="21.75" thickTop="1" x14ac:dyDescent="0.35">
      <c r="C136" s="4"/>
      <c r="D136"/>
      <c r="E136"/>
      <c r="F136"/>
      <c r="G136"/>
      <c r="H136"/>
      <c r="I136" s="36"/>
      <c r="K136"/>
      <c r="L136"/>
      <c r="M136"/>
      <c r="N136"/>
      <c r="O136"/>
      <c r="P136"/>
    </row>
  </sheetData>
  <mergeCells count="2">
    <mergeCell ref="A1:H1"/>
    <mergeCell ref="B2:H2"/>
  </mergeCells>
  <printOptions horizontalCentered="1"/>
  <pageMargins left="0.35433070866141736" right="0.23622047244094491" top="0.74803149606299213" bottom="0.74803149606299213" header="0.31496062992125984" footer="0.31496062992125984"/>
  <pageSetup paperSize="14" scale="62" firstPageNumber="481" fitToHeight="0" orientation="portrait" r:id="rId1"/>
  <headerFooter scaleWithDoc="0">
    <oddFooter>&amp;C&amp;"Candara,Regular"&amp;10Page &amp;"Candara,Bold"&amp;P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9"/>
  <sheetViews>
    <sheetView view="pageBreakPreview" topLeftCell="A6" zoomScale="110" zoomScaleNormal="130" zoomScaleSheetLayoutView="110" workbookViewId="0">
      <pane xSplit="1" ySplit="3" topLeftCell="B30"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6.7109375" style="41" bestFit="1" customWidth="1"/>
    <col min="9" max="9" width="12.710937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407</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v>
      </c>
      <c r="B12" s="352" t="s">
        <v>6</v>
      </c>
      <c r="C12" s="406"/>
      <c r="D12" s="369"/>
      <c r="E12" s="406">
        <f>F12-D12</f>
        <v>2088411.6</v>
      </c>
      <c r="F12" s="369">
        <v>2088411.6</v>
      </c>
      <c r="G12" s="408">
        <f>H12+I12</f>
        <v>2153410.7999999998</v>
      </c>
      <c r="H12" s="438">
        <v>2129410.7999999998</v>
      </c>
      <c r="I12" s="49">
        <f>I14/2</f>
        <v>24000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c r="D14" s="369"/>
      <c r="E14" s="406">
        <f t="shared" ref="E14:E19" si="0">F14-D14</f>
        <v>48000</v>
      </c>
      <c r="F14" s="369">
        <v>48000</v>
      </c>
      <c r="G14" s="408">
        <f>param_pera*CTFRO_PLATILLA_ITEMS*12</f>
        <v>48000</v>
      </c>
      <c r="H14" s="440"/>
      <c r="I14" s="49">
        <v>48000</v>
      </c>
    </row>
    <row r="15" spans="1:9" ht="15" customHeight="1" x14ac:dyDescent="0.25">
      <c r="A15" s="373" t="s">
        <v>11</v>
      </c>
      <c r="B15" s="352" t="s">
        <v>12</v>
      </c>
      <c r="C15" s="406"/>
      <c r="D15" s="369"/>
      <c r="E15" s="406">
        <f t="shared" si="0"/>
        <v>135000</v>
      </c>
      <c r="F15" s="369">
        <v>135000</v>
      </c>
      <c r="G15" s="408">
        <f>H15*12</f>
        <v>135000</v>
      </c>
      <c r="H15" s="440">
        <v>11250</v>
      </c>
    </row>
    <row r="16" spans="1:9" ht="15" customHeight="1" x14ac:dyDescent="0.25">
      <c r="A16" s="373" t="s">
        <v>13</v>
      </c>
      <c r="B16" s="352" t="s">
        <v>14</v>
      </c>
      <c r="C16" s="406"/>
      <c r="D16" s="369"/>
      <c r="E16" s="406">
        <f t="shared" si="0"/>
        <v>135000</v>
      </c>
      <c r="F16" s="369">
        <v>135000</v>
      </c>
      <c r="G16" s="408">
        <f>H16*12</f>
        <v>135000</v>
      </c>
      <c r="H16" s="440">
        <v>11250</v>
      </c>
    </row>
    <row r="17" spans="1:10" ht="15" customHeight="1" x14ac:dyDescent="0.25">
      <c r="A17" s="373" t="s">
        <v>15</v>
      </c>
      <c r="B17" s="352" t="s">
        <v>16</v>
      </c>
      <c r="C17" s="406"/>
      <c r="D17" s="369"/>
      <c r="E17" s="406">
        <f t="shared" si="0"/>
        <v>12000</v>
      </c>
      <c r="F17" s="369">
        <v>12000</v>
      </c>
      <c r="G17" s="408">
        <f>param_uniform*CTFRO_PLATILLA_ITEMS</f>
        <v>12000</v>
      </c>
      <c r="H17" s="440"/>
    </row>
    <row r="18" spans="1:10" ht="15" customHeight="1" x14ac:dyDescent="0.25">
      <c r="A18" s="373" t="s">
        <v>17</v>
      </c>
      <c r="B18" s="352" t="s">
        <v>18</v>
      </c>
      <c r="C18" s="406"/>
      <c r="D18" s="369"/>
      <c r="E18" s="406">
        <f t="shared" si="0"/>
        <v>174034.30000000002</v>
      </c>
      <c r="F18" s="369">
        <v>174034.30000000002</v>
      </c>
      <c r="G18" s="408">
        <f>H12/12+I18</f>
        <v>189450.9</v>
      </c>
      <c r="H18" s="16"/>
      <c r="I18" s="49">
        <f>I14/4</f>
        <v>12000</v>
      </c>
    </row>
    <row r="19" spans="1:10" ht="15" customHeight="1" x14ac:dyDescent="0.25">
      <c r="A19" s="373" t="s">
        <v>19</v>
      </c>
      <c r="B19" s="352" t="s">
        <v>20</v>
      </c>
      <c r="C19" s="406"/>
      <c r="D19" s="369"/>
      <c r="E19" s="406">
        <f t="shared" si="0"/>
        <v>10000</v>
      </c>
      <c r="F19" s="369">
        <v>10000</v>
      </c>
      <c r="G19" s="408">
        <f>param_cash_gift*CTFRO_PLATILLA_ITEMS</f>
        <v>10000</v>
      </c>
      <c r="H19" s="440"/>
    </row>
    <row r="20" spans="1:10" ht="15" customHeight="1" x14ac:dyDescent="0.25">
      <c r="A20" s="403" t="s">
        <v>21</v>
      </c>
      <c r="B20" s="365"/>
      <c r="C20" s="404"/>
      <c r="D20" s="366"/>
      <c r="E20" s="404"/>
      <c r="F20" s="366"/>
      <c r="G20" s="405"/>
      <c r="H20" s="16"/>
      <c r="J20" s="41" t="s">
        <v>610</v>
      </c>
    </row>
    <row r="21" spans="1:10" ht="15" customHeight="1" x14ac:dyDescent="0.25">
      <c r="A21" s="373" t="s">
        <v>22</v>
      </c>
      <c r="B21" s="352" t="s">
        <v>23</v>
      </c>
      <c r="C21" s="406"/>
      <c r="D21" s="369"/>
      <c r="E21" s="406">
        <f t="shared" ref="E21:E24" si="1">F21-D21</f>
        <v>250609.39199999999</v>
      </c>
      <c r="F21" s="369">
        <v>250609.39199999999</v>
      </c>
      <c r="G21" s="408">
        <f>H12*12%</f>
        <v>255529.29599999997</v>
      </c>
      <c r="H21" s="16"/>
    </row>
    <row r="22" spans="1:10" ht="15" customHeight="1" x14ac:dyDescent="0.25">
      <c r="A22" s="373" t="s">
        <v>24</v>
      </c>
      <c r="B22" s="352" t="s">
        <v>25</v>
      </c>
      <c r="C22" s="406"/>
      <c r="D22" s="369"/>
      <c r="E22" s="406">
        <f t="shared" si="1"/>
        <v>3600</v>
      </c>
      <c r="F22" s="369">
        <v>3600</v>
      </c>
      <c r="G22" s="408">
        <f>param_pagibig*CTFRO_PLATILLA_ITEMS*12</f>
        <v>3600</v>
      </c>
      <c r="H22" s="440"/>
    </row>
    <row r="23" spans="1:10" ht="15" customHeight="1" x14ac:dyDescent="0.25">
      <c r="A23" s="373" t="s">
        <v>26</v>
      </c>
      <c r="B23" s="352" t="s">
        <v>27</v>
      </c>
      <c r="C23" s="406"/>
      <c r="D23" s="369"/>
      <c r="E23" s="406">
        <f t="shared" si="1"/>
        <v>35000</v>
      </c>
      <c r="F23" s="369">
        <v>35000</v>
      </c>
      <c r="G23" s="408">
        <f>ROUND(H23+(H23*0.1), -1)</f>
        <v>41630</v>
      </c>
      <c r="H23" s="440">
        <v>37841.040000000001</v>
      </c>
    </row>
    <row r="24" spans="1:10" ht="15" customHeight="1" x14ac:dyDescent="0.25">
      <c r="A24" s="373" t="s">
        <v>28</v>
      </c>
      <c r="B24" s="352" t="s">
        <v>29</v>
      </c>
      <c r="C24" s="406"/>
      <c r="D24" s="369"/>
      <c r="E24" s="406">
        <f t="shared" si="1"/>
        <v>3600</v>
      </c>
      <c r="F24" s="369">
        <v>3600</v>
      </c>
      <c r="G24" s="408">
        <f>param_ecc*CTFRO_PLATILLA_ITEMS*12</f>
        <v>3600</v>
      </c>
      <c r="H24" s="440"/>
    </row>
    <row r="25" spans="1:10" ht="15" customHeight="1" x14ac:dyDescent="0.25">
      <c r="A25" s="403" t="s">
        <v>30</v>
      </c>
      <c r="B25" s="365"/>
      <c r="C25" s="404"/>
      <c r="D25" s="366"/>
      <c r="E25" s="404"/>
      <c r="F25" s="366"/>
      <c r="G25" s="405"/>
      <c r="H25" s="16"/>
    </row>
    <row r="26" spans="1:10" ht="15" customHeight="1" x14ac:dyDescent="0.25">
      <c r="A26" s="373" t="s">
        <v>30</v>
      </c>
      <c r="B26" s="352" t="s">
        <v>33</v>
      </c>
      <c r="C26" s="406"/>
      <c r="D26" s="369"/>
      <c r="E26" s="406"/>
      <c r="F26" s="369"/>
      <c r="G26" s="408"/>
      <c r="H26" s="446">
        <f>SUM(G26:G29)</f>
        <v>209450.9</v>
      </c>
    </row>
    <row r="27" spans="1:10" ht="15" customHeight="1" x14ac:dyDescent="0.25">
      <c r="A27" s="434" t="s">
        <v>332</v>
      </c>
      <c r="B27" s="352"/>
      <c r="C27" s="406"/>
      <c r="D27" s="369"/>
      <c r="E27" s="406">
        <f t="shared" ref="E27:E29" si="2">F27-D27</f>
        <v>174034.30000000002</v>
      </c>
      <c r="F27" s="369">
        <v>174034.30000000002</v>
      </c>
      <c r="G27" s="408">
        <f>H12/12+I27</f>
        <v>189450.9</v>
      </c>
      <c r="H27" s="16"/>
      <c r="I27" s="49">
        <f>I14/4</f>
        <v>12000</v>
      </c>
    </row>
    <row r="28" spans="1:10" ht="15" customHeight="1" x14ac:dyDescent="0.25">
      <c r="A28" s="434" t="s">
        <v>333</v>
      </c>
      <c r="B28" s="352"/>
      <c r="C28" s="406"/>
      <c r="D28" s="369"/>
      <c r="E28" s="406">
        <f t="shared" si="2"/>
        <v>10000</v>
      </c>
      <c r="F28" s="369">
        <v>10000</v>
      </c>
      <c r="G28" s="408">
        <f>param_pei*CTFRO_PLATILLA_ITEMS</f>
        <v>10000</v>
      </c>
      <c r="H28" s="440"/>
    </row>
    <row r="29" spans="1:10" ht="30" customHeight="1" x14ac:dyDescent="0.25">
      <c r="A29" s="441" t="s">
        <v>649</v>
      </c>
      <c r="B29" s="442"/>
      <c r="C29" s="443"/>
      <c r="D29" s="369"/>
      <c r="E29" s="406">
        <f t="shared" si="2"/>
        <v>10000</v>
      </c>
      <c r="F29" s="444">
        <v>10000</v>
      </c>
      <c r="G29" s="387">
        <f>param_pbb*CTFRO_PLATILLA_ITEMS</f>
        <v>10000</v>
      </c>
      <c r="H29" s="440"/>
    </row>
    <row r="30" spans="1:10" ht="15" customHeight="1" x14ac:dyDescent="0.25">
      <c r="A30" s="396" t="s">
        <v>34</v>
      </c>
      <c r="B30" s="397"/>
      <c r="C30" s="398">
        <f>SUM(C11:C29)</f>
        <v>0</v>
      </c>
      <c r="D30" s="398">
        <f>SUM(D11:D29)</f>
        <v>0</v>
      </c>
      <c r="E30" s="398">
        <f>SUM(E11:E29)</f>
        <v>3089289.5919999997</v>
      </c>
      <c r="F30" s="398">
        <f>SUM(F11:F29)</f>
        <v>3089289.5919999997</v>
      </c>
      <c r="G30" s="398">
        <f>SUM(G11:G29)</f>
        <v>3196671.8959999997</v>
      </c>
      <c r="H30" s="446"/>
    </row>
    <row r="31" spans="1:10" ht="15" customHeight="1" x14ac:dyDescent="0.25">
      <c r="A31" s="515" t="s">
        <v>35</v>
      </c>
      <c r="B31" s="515"/>
      <c r="C31" s="517"/>
      <c r="D31" s="517"/>
      <c r="E31" s="517"/>
      <c r="F31" s="517"/>
      <c r="G31" s="517"/>
      <c r="H31" s="446"/>
    </row>
    <row r="32" spans="1:10" s="43" customFormat="1" ht="15" customHeight="1" x14ac:dyDescent="0.2">
      <c r="A32" s="403" t="s">
        <v>58</v>
      </c>
      <c r="B32" s="365"/>
      <c r="C32" s="404"/>
      <c r="D32" s="366"/>
      <c r="E32" s="406"/>
      <c r="F32" s="366"/>
      <c r="G32" s="366"/>
      <c r="H32" s="358"/>
      <c r="I32" s="1046"/>
    </row>
    <row r="33" spans="1:8" ht="15" customHeight="1" x14ac:dyDescent="0.25">
      <c r="A33" s="373" t="s">
        <v>61</v>
      </c>
      <c r="B33" s="352" t="s">
        <v>62</v>
      </c>
      <c r="C33" s="406"/>
      <c r="D33" s="369"/>
      <c r="E33" s="406">
        <f t="shared" ref="E33:E34" si="3">F33-D33</f>
        <v>36000</v>
      </c>
      <c r="F33" s="369">
        <v>36000</v>
      </c>
      <c r="G33" s="369"/>
      <c r="H33" s="16"/>
    </row>
    <row r="34" spans="1:8" ht="15" customHeight="1" x14ac:dyDescent="0.25">
      <c r="A34" s="373" t="s">
        <v>63</v>
      </c>
      <c r="B34" s="352" t="s">
        <v>64</v>
      </c>
      <c r="C34" s="406"/>
      <c r="D34" s="369"/>
      <c r="E34" s="406">
        <f t="shared" si="3"/>
        <v>36000</v>
      </c>
      <c r="F34" s="369">
        <v>36000</v>
      </c>
      <c r="G34" s="369">
        <v>22000</v>
      </c>
      <c r="H34" s="16"/>
    </row>
    <row r="35" spans="1:8" ht="15" customHeight="1" x14ac:dyDescent="0.25">
      <c r="A35" s="403" t="s">
        <v>79</v>
      </c>
      <c r="B35" s="365"/>
      <c r="C35" s="404"/>
      <c r="D35" s="366"/>
      <c r="E35" s="406"/>
      <c r="F35" s="366"/>
      <c r="G35" s="369"/>
      <c r="H35" s="16"/>
    </row>
    <row r="36" spans="1:8" ht="15" customHeight="1" x14ac:dyDescent="0.25">
      <c r="A36" s="373" t="s">
        <v>80</v>
      </c>
      <c r="B36" s="352" t="s">
        <v>81</v>
      </c>
      <c r="C36" s="522">
        <v>220410</v>
      </c>
      <c r="D36" s="523"/>
      <c r="E36" s="522">
        <f>F36-D36</f>
        <v>462000</v>
      </c>
      <c r="F36" s="523">
        <v>462000</v>
      </c>
      <c r="G36" s="524">
        <v>506800</v>
      </c>
      <c r="H36" s="16"/>
    </row>
    <row r="37" spans="1:8" ht="15" customHeight="1" x14ac:dyDescent="0.25">
      <c r="A37" s="403" t="s">
        <v>42</v>
      </c>
      <c r="B37" s="365"/>
      <c r="C37" s="404"/>
      <c r="D37" s="366"/>
      <c r="E37" s="404"/>
      <c r="F37" s="366"/>
      <c r="G37" s="405"/>
      <c r="H37" s="16"/>
    </row>
    <row r="38" spans="1:8" ht="15" customHeight="1" x14ac:dyDescent="0.25">
      <c r="A38" s="373" t="s">
        <v>42</v>
      </c>
      <c r="B38" s="352" t="s">
        <v>176</v>
      </c>
      <c r="C38" s="406">
        <v>19220.5</v>
      </c>
      <c r="D38" s="369"/>
      <c r="E38" s="406"/>
      <c r="F38" s="369"/>
      <c r="G38" s="369">
        <v>10000</v>
      </c>
      <c r="H38" s="16"/>
    </row>
    <row r="39" spans="1:8" ht="30" customHeight="1" x14ac:dyDescent="0.25">
      <c r="A39" s="396" t="s">
        <v>86</v>
      </c>
      <c r="B39" s="397"/>
      <c r="C39" s="398">
        <f>SUM(C33:C38)</f>
        <v>239630.5</v>
      </c>
      <c r="D39" s="398">
        <f>SUM(D33:D38)</f>
        <v>0</v>
      </c>
      <c r="E39" s="398">
        <f>SUM(E33:E38)</f>
        <v>534000</v>
      </c>
      <c r="F39" s="398">
        <f>SUM(F33:F38)</f>
        <v>534000</v>
      </c>
      <c r="G39" s="398">
        <f>SUM(G33:G38)</f>
        <v>538800</v>
      </c>
      <c r="H39" s="785">
        <v>462000</v>
      </c>
    </row>
    <row r="40" spans="1:8" ht="15" customHeight="1" x14ac:dyDescent="0.25">
      <c r="A40" s="424" t="s">
        <v>88</v>
      </c>
      <c r="B40" s="425"/>
      <c r="C40" s="426"/>
      <c r="D40" s="427"/>
      <c r="E40" s="426"/>
      <c r="F40" s="427"/>
      <c r="G40" s="428">
        <v>0</v>
      </c>
      <c r="H40" s="16"/>
    </row>
    <row r="41" spans="1:8" ht="15" customHeight="1" x14ac:dyDescent="0.25">
      <c r="A41" s="396" t="s">
        <v>112</v>
      </c>
      <c r="B41" s="436"/>
      <c r="C41" s="398">
        <v>0</v>
      </c>
      <c r="D41" s="398">
        <v>0</v>
      </c>
      <c r="E41" s="398">
        <v>0</v>
      </c>
      <c r="F41" s="398">
        <v>0</v>
      </c>
      <c r="G41" s="398">
        <f>SUM(G40)</f>
        <v>0</v>
      </c>
      <c r="H41" s="16"/>
    </row>
    <row r="42" spans="1:8" ht="15" customHeight="1" x14ac:dyDescent="0.25">
      <c r="A42" s="454" t="s">
        <v>113</v>
      </c>
      <c r="B42" s="437"/>
      <c r="C42" s="455">
        <f>C30+C39+C41</f>
        <v>239630.5</v>
      </c>
      <c r="D42" s="455">
        <f>D30+D39+D41</f>
        <v>0</v>
      </c>
      <c r="E42" s="455">
        <f>E30+E39+E41</f>
        <v>3623289.5919999997</v>
      </c>
      <c r="F42" s="455">
        <f>F30+F39+F41</f>
        <v>3623289.5919999997</v>
      </c>
      <c r="G42" s="455">
        <f>G30+G39+G41</f>
        <v>3735471.8959999997</v>
      </c>
      <c r="H42" s="16"/>
    </row>
    <row r="43" spans="1:8" x14ac:dyDescent="0.25">
      <c r="A43" s="16"/>
      <c r="B43" s="16"/>
      <c r="C43" s="16"/>
      <c r="D43" s="16"/>
      <c r="E43" s="16"/>
      <c r="F43" s="16"/>
      <c r="G43" s="16"/>
      <c r="H43" s="16"/>
    </row>
    <row r="44" spans="1:8" x14ac:dyDescent="0.25">
      <c r="A44" s="16"/>
      <c r="B44" s="16"/>
      <c r="C44" s="16"/>
      <c r="D44" s="16"/>
      <c r="E44" s="16"/>
      <c r="F44" s="16"/>
      <c r="G44" s="16"/>
      <c r="H44" s="16"/>
    </row>
    <row r="45" spans="1:8" x14ac:dyDescent="0.25">
      <c r="A45" s="16"/>
      <c r="B45" s="16"/>
      <c r="C45" s="16"/>
      <c r="D45" s="16"/>
      <c r="E45" s="16"/>
      <c r="F45" s="16"/>
      <c r="G45" s="16"/>
      <c r="H45" s="16"/>
    </row>
    <row r="46" spans="1:8" x14ac:dyDescent="0.25">
      <c r="A46" s="16"/>
      <c r="B46" s="16"/>
      <c r="C46" s="16"/>
      <c r="D46" s="16"/>
      <c r="E46" s="16"/>
      <c r="F46" s="16"/>
      <c r="G46" s="16"/>
      <c r="H46" s="16"/>
    </row>
    <row r="47" spans="1:8" x14ac:dyDescent="0.25">
      <c r="A47" s="16"/>
      <c r="B47" s="16"/>
      <c r="C47" s="16"/>
      <c r="D47" s="16"/>
      <c r="E47" s="16"/>
      <c r="F47" s="16"/>
      <c r="G47" s="16"/>
      <c r="H47" s="16"/>
    </row>
    <row r="48" spans="1:8"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v>322824.65999999997</v>
      </c>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ht="38.25" customHeight="1"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353"/>
      <c r="C96" s="16"/>
      <c r="D96" s="16"/>
      <c r="E96" s="16"/>
      <c r="F96" s="16"/>
      <c r="G96" s="16"/>
      <c r="H96" s="16"/>
    </row>
    <row r="97" spans="1:8" x14ac:dyDescent="0.25">
      <c r="A97" s="16"/>
      <c r="B97" s="16"/>
      <c r="C97" s="16"/>
      <c r="D97" s="16"/>
      <c r="E97" s="16"/>
      <c r="F97" s="16"/>
      <c r="G97" s="16"/>
      <c r="H97" s="16"/>
    </row>
    <row r="98" spans="1:8" x14ac:dyDescent="0.25">
      <c r="A98" s="16"/>
      <c r="B98" s="16"/>
      <c r="C98" s="16"/>
      <c r="D98" s="16"/>
      <c r="E98" s="16"/>
      <c r="F98" s="16"/>
      <c r="G98" s="16"/>
      <c r="H98" s="16"/>
    </row>
    <row r="99" spans="1:8" x14ac:dyDescent="0.25">
      <c r="A99" s="16"/>
      <c r="B99" s="16"/>
      <c r="C99" s="16"/>
      <c r="D99" s="16"/>
      <c r="E99" s="16"/>
      <c r="F99" s="16"/>
      <c r="G99" s="16"/>
      <c r="H99"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pageSetUpPr fitToPage="1"/>
  </sheetPr>
  <dimension ref="A1:I84"/>
  <sheetViews>
    <sheetView view="pageBreakPreview" topLeftCell="A6" zoomScale="110" zoomScaleNormal="130" zoomScaleSheetLayoutView="110" workbookViewId="0">
      <pane xSplit="1" ySplit="3" topLeftCell="B9"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4" style="41" bestFit="1" customWidth="1"/>
    <col min="9" max="9" width="17.285156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129</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50"/>
    </row>
    <row r="7" spans="1:9" s="43" customFormat="1" ht="12" x14ac:dyDescent="0.2">
      <c r="A7" s="1099"/>
      <c r="B7" s="1099"/>
      <c r="C7" s="1099"/>
      <c r="D7" s="1100"/>
      <c r="E7" s="1100"/>
      <c r="F7" s="1100"/>
      <c r="G7" s="1099"/>
      <c r="H7" s="358"/>
      <c r="I7" s="1050"/>
    </row>
    <row r="8" spans="1:9" s="43" customFormat="1" ht="24" x14ac:dyDescent="0.2">
      <c r="A8" s="1099"/>
      <c r="B8" s="1099"/>
      <c r="C8" s="1099"/>
      <c r="D8" s="359" t="s">
        <v>308</v>
      </c>
      <c r="E8" s="359" t="s">
        <v>309</v>
      </c>
      <c r="F8" s="359" t="s">
        <v>3</v>
      </c>
      <c r="G8" s="1099"/>
      <c r="H8" s="358"/>
      <c r="I8" s="1050"/>
    </row>
    <row r="9" spans="1:9" s="70" customFormat="1" ht="11.25" x14ac:dyDescent="0.25">
      <c r="A9" s="360">
        <v>1</v>
      </c>
      <c r="B9" s="360">
        <v>2</v>
      </c>
      <c r="C9" s="360">
        <v>3</v>
      </c>
      <c r="D9" s="360">
        <v>4</v>
      </c>
      <c r="E9" s="360">
        <v>5</v>
      </c>
      <c r="F9" s="360">
        <v>6</v>
      </c>
      <c r="G9" s="360">
        <v>7</v>
      </c>
      <c r="H9" s="423" t="s">
        <v>497</v>
      </c>
      <c r="I9" s="1051"/>
    </row>
    <row r="10" spans="1:9" ht="15" customHeight="1" x14ac:dyDescent="0.25">
      <c r="A10" s="429" t="s">
        <v>4</v>
      </c>
      <c r="B10" s="362"/>
      <c r="C10" s="430"/>
      <c r="D10" s="363"/>
      <c r="E10" s="430"/>
      <c r="F10" s="363"/>
      <c r="G10" s="431"/>
      <c r="H10" s="18">
        <v>14</v>
      </c>
      <c r="I10" s="402"/>
    </row>
    <row r="11" spans="1:9" ht="15" customHeight="1" x14ac:dyDescent="0.25">
      <c r="A11" s="403" t="s">
        <v>5</v>
      </c>
      <c r="B11" s="365"/>
      <c r="C11" s="404"/>
      <c r="D11" s="366"/>
      <c r="E11" s="404"/>
      <c r="F11" s="366"/>
      <c r="G11" s="405"/>
      <c r="H11" s="16"/>
      <c r="I11" s="402"/>
    </row>
    <row r="12" spans="1:9" ht="15" customHeight="1" x14ac:dyDescent="0.25">
      <c r="A12" s="373" t="str">
        <f>"Salaries and Wages - Regular (" &amp; H10 &amp; ")"</f>
        <v>Salaries and Wages - Regular (14)</v>
      </c>
      <c r="B12" s="352" t="s">
        <v>6</v>
      </c>
      <c r="C12" s="406">
        <v>5552722.1399999997</v>
      </c>
      <c r="D12" s="369">
        <v>2892578.71</v>
      </c>
      <c r="E12" s="406">
        <f>F12-D12</f>
        <v>3308556.8900000006</v>
      </c>
      <c r="F12" s="369">
        <v>6201135.6000000006</v>
      </c>
      <c r="G12" s="408">
        <f>H12+I12</f>
        <v>6568653.5999999987</v>
      </c>
      <c r="H12" s="438">
        <v>6400653.5999999987</v>
      </c>
      <c r="I12" s="402">
        <f>I14/2</f>
        <v>168000</v>
      </c>
    </row>
    <row r="13" spans="1:9" ht="15" customHeight="1" x14ac:dyDescent="0.25">
      <c r="A13" s="403" t="s">
        <v>7</v>
      </c>
      <c r="B13" s="365"/>
      <c r="C13" s="404"/>
      <c r="D13" s="366"/>
      <c r="E13" s="404"/>
      <c r="F13" s="366"/>
      <c r="G13" s="405"/>
      <c r="H13" s="402"/>
      <c r="I13" s="402"/>
    </row>
    <row r="14" spans="1:9" ht="15" customHeight="1" x14ac:dyDescent="0.25">
      <c r="A14" s="373" t="s">
        <v>8</v>
      </c>
      <c r="B14" s="352" t="s">
        <v>9</v>
      </c>
      <c r="C14" s="406">
        <v>336000</v>
      </c>
      <c r="D14" s="369">
        <v>168000</v>
      </c>
      <c r="E14" s="406">
        <f t="shared" ref="E14:E19" si="0">F14-D14</f>
        <v>168000</v>
      </c>
      <c r="F14" s="369">
        <v>336000</v>
      </c>
      <c r="G14" s="408">
        <f>param_pera*ZONING_PLATILLA_ITEMS*12</f>
        <v>336000</v>
      </c>
      <c r="H14" s="402"/>
      <c r="I14" s="402">
        <v>336000</v>
      </c>
    </row>
    <row r="15" spans="1:9" ht="15" customHeight="1" x14ac:dyDescent="0.25">
      <c r="A15" s="373" t="s">
        <v>11</v>
      </c>
      <c r="B15" s="352" t="s">
        <v>12</v>
      </c>
      <c r="C15" s="406">
        <v>135000</v>
      </c>
      <c r="D15" s="369">
        <v>67500</v>
      </c>
      <c r="E15" s="406">
        <f t="shared" si="0"/>
        <v>67500</v>
      </c>
      <c r="F15" s="369">
        <v>135000</v>
      </c>
      <c r="G15" s="408">
        <f>H15*12</f>
        <v>135000</v>
      </c>
      <c r="H15" s="402">
        <v>11250</v>
      </c>
      <c r="I15" s="440"/>
    </row>
    <row r="16" spans="1:9" ht="15" customHeight="1" x14ac:dyDescent="0.25">
      <c r="A16" s="373" t="s">
        <v>13</v>
      </c>
      <c r="B16" s="352" t="s">
        <v>14</v>
      </c>
      <c r="C16" s="406">
        <v>135000</v>
      </c>
      <c r="D16" s="369">
        <v>67500</v>
      </c>
      <c r="E16" s="406">
        <f t="shared" si="0"/>
        <v>67500</v>
      </c>
      <c r="F16" s="369">
        <v>135000</v>
      </c>
      <c r="G16" s="408">
        <f>H16*12</f>
        <v>135000</v>
      </c>
      <c r="H16" s="402">
        <v>11250</v>
      </c>
      <c r="I16" s="440"/>
    </row>
    <row r="17" spans="1:9" ht="15" customHeight="1" x14ac:dyDescent="0.25">
      <c r="A17" s="373" t="s">
        <v>15</v>
      </c>
      <c r="B17" s="352" t="s">
        <v>16</v>
      </c>
      <c r="C17" s="406">
        <v>84000</v>
      </c>
      <c r="D17" s="369">
        <v>84000</v>
      </c>
      <c r="E17" s="406">
        <f t="shared" si="0"/>
        <v>0</v>
      </c>
      <c r="F17" s="369">
        <v>84000</v>
      </c>
      <c r="G17" s="408">
        <f>param_uniform*ZONING_PLATILLA_ITEMS</f>
        <v>84000</v>
      </c>
      <c r="H17" s="402"/>
      <c r="I17" s="402"/>
    </row>
    <row r="18" spans="1:9" ht="15" customHeight="1" x14ac:dyDescent="0.25">
      <c r="A18" s="373" t="s">
        <v>17</v>
      </c>
      <c r="B18" s="352" t="s">
        <v>18</v>
      </c>
      <c r="C18" s="406">
        <v>463768</v>
      </c>
      <c r="D18" s="369"/>
      <c r="E18" s="406">
        <f t="shared" si="0"/>
        <v>516761.30000000005</v>
      </c>
      <c r="F18" s="369">
        <v>516761.30000000005</v>
      </c>
      <c r="G18" s="408">
        <f>H12/12+I18</f>
        <v>617387.79999999993</v>
      </c>
      <c r="H18" s="402"/>
      <c r="I18" s="402">
        <f>I14/4</f>
        <v>84000</v>
      </c>
    </row>
    <row r="19" spans="1:9" ht="15" customHeight="1" x14ac:dyDescent="0.25">
      <c r="A19" s="373" t="s">
        <v>19</v>
      </c>
      <c r="B19" s="352" t="s">
        <v>20</v>
      </c>
      <c r="C19" s="406">
        <v>70000</v>
      </c>
      <c r="D19" s="369"/>
      <c r="E19" s="406">
        <f t="shared" si="0"/>
        <v>70000</v>
      </c>
      <c r="F19" s="369">
        <v>70000</v>
      </c>
      <c r="G19" s="408">
        <f>param_cash_gift*ZONING_PLATILLA_ITEMS</f>
        <v>70000</v>
      </c>
      <c r="H19" s="402"/>
      <c r="I19" s="402"/>
    </row>
    <row r="20" spans="1:9" s="44" customFormat="1" ht="15" customHeight="1" x14ac:dyDescent="0.25">
      <c r="A20" s="403" t="s">
        <v>21</v>
      </c>
      <c r="B20" s="365"/>
      <c r="C20" s="404"/>
      <c r="D20" s="366"/>
      <c r="E20" s="406"/>
      <c r="F20" s="366"/>
      <c r="G20" s="405"/>
      <c r="H20" s="400"/>
      <c r="I20" s="400"/>
    </row>
    <row r="21" spans="1:9" ht="15" customHeight="1" x14ac:dyDescent="0.25">
      <c r="A21" s="373" t="s">
        <v>22</v>
      </c>
      <c r="B21" s="352" t="s">
        <v>23</v>
      </c>
      <c r="C21" s="406">
        <v>666326.66</v>
      </c>
      <c r="D21" s="369">
        <v>349675.93</v>
      </c>
      <c r="E21" s="406">
        <f t="shared" ref="E21:E24" si="1">F21-D21</f>
        <v>394460.342</v>
      </c>
      <c r="F21" s="369">
        <v>744136.272</v>
      </c>
      <c r="G21" s="408">
        <f>H12*12%</f>
        <v>768078.4319999998</v>
      </c>
      <c r="H21" s="402"/>
      <c r="I21" s="402"/>
    </row>
    <row r="22" spans="1:9" ht="15" customHeight="1" x14ac:dyDescent="0.25">
      <c r="A22" s="373" t="s">
        <v>24</v>
      </c>
      <c r="B22" s="352" t="s">
        <v>25</v>
      </c>
      <c r="C22" s="406">
        <v>16800</v>
      </c>
      <c r="D22" s="369">
        <v>8400</v>
      </c>
      <c r="E22" s="406">
        <f t="shared" si="1"/>
        <v>16800</v>
      </c>
      <c r="F22" s="369">
        <v>25200</v>
      </c>
      <c r="G22" s="408">
        <f>param_pagibig*ZONING_PLATILLA_ITEMS*12</f>
        <v>25200</v>
      </c>
      <c r="H22" s="402"/>
      <c r="I22" s="402"/>
    </row>
    <row r="23" spans="1:9" ht="15" customHeight="1" x14ac:dyDescent="0.25">
      <c r="A23" s="373" t="s">
        <v>26</v>
      </c>
      <c r="B23" s="352" t="s">
        <v>27</v>
      </c>
      <c r="C23" s="406">
        <v>74949.240000000005</v>
      </c>
      <c r="D23" s="369">
        <v>56273.88</v>
      </c>
      <c r="E23" s="406">
        <f t="shared" si="1"/>
        <v>87726.12</v>
      </c>
      <c r="F23" s="369">
        <v>144000</v>
      </c>
      <c r="G23" s="408">
        <f>ROUND(H23+(H23*0.1), -1)</f>
        <v>134260</v>
      </c>
      <c r="H23" s="402">
        <v>122055.79</v>
      </c>
      <c r="I23" s="402"/>
    </row>
    <row r="24" spans="1:9" ht="15" customHeight="1" x14ac:dyDescent="0.25">
      <c r="A24" s="373" t="s">
        <v>28</v>
      </c>
      <c r="B24" s="352" t="s">
        <v>29</v>
      </c>
      <c r="C24" s="406">
        <v>16800</v>
      </c>
      <c r="D24" s="369">
        <v>8400</v>
      </c>
      <c r="E24" s="406">
        <f t="shared" si="1"/>
        <v>16800</v>
      </c>
      <c r="F24" s="369">
        <v>25200</v>
      </c>
      <c r="G24" s="408">
        <f>param_ecc*ZONING_PLATILLA_ITEMS*12</f>
        <v>25200</v>
      </c>
      <c r="H24" s="402"/>
      <c r="I24" s="402"/>
    </row>
    <row r="25" spans="1:9" ht="15" customHeight="1" x14ac:dyDescent="0.25">
      <c r="A25" s="403" t="s">
        <v>30</v>
      </c>
      <c r="B25" s="365"/>
      <c r="C25" s="404"/>
      <c r="D25" s="366"/>
      <c r="E25" s="404"/>
      <c r="F25" s="366"/>
      <c r="G25" s="405"/>
      <c r="H25" s="402"/>
      <c r="I25" s="402"/>
    </row>
    <row r="26" spans="1:9" ht="15" customHeight="1" x14ac:dyDescent="0.25">
      <c r="A26" s="373" t="s">
        <v>30</v>
      </c>
      <c r="B26" s="352" t="s">
        <v>33</v>
      </c>
      <c r="C26" s="406"/>
      <c r="D26" s="369"/>
      <c r="E26" s="369"/>
      <c r="F26" s="369"/>
      <c r="G26" s="408"/>
      <c r="H26" s="519">
        <f>SUM(G26:G33)</f>
        <v>757387.79999999993</v>
      </c>
      <c r="I26" s="402"/>
    </row>
    <row r="27" spans="1:9" ht="15" customHeight="1" x14ac:dyDescent="0.25">
      <c r="A27" s="434" t="s">
        <v>332</v>
      </c>
      <c r="B27" s="352"/>
      <c r="C27" s="406">
        <v>462292</v>
      </c>
      <c r="D27" s="369">
        <v>483289</v>
      </c>
      <c r="E27" s="406">
        <f t="shared" ref="E27:E30" si="2">F27-D27</f>
        <v>33472.300000000047</v>
      </c>
      <c r="F27" s="369">
        <v>516761.30000000005</v>
      </c>
      <c r="G27" s="408">
        <f>H12/12+I27</f>
        <v>617387.79999999993</v>
      </c>
      <c r="H27" s="402"/>
      <c r="I27" s="402">
        <f>I14/4</f>
        <v>84000</v>
      </c>
    </row>
    <row r="28" spans="1:9" ht="15" customHeight="1" x14ac:dyDescent="0.25">
      <c r="A28" s="434" t="s">
        <v>333</v>
      </c>
      <c r="B28" s="352"/>
      <c r="C28" s="406">
        <v>70000</v>
      </c>
      <c r="D28" s="369"/>
      <c r="E28" s="406">
        <f t="shared" si="2"/>
        <v>70000</v>
      </c>
      <c r="F28" s="369">
        <v>70000</v>
      </c>
      <c r="G28" s="408">
        <f>param_pei*ZONING_PLATILLA_ITEMS</f>
        <v>70000</v>
      </c>
      <c r="H28" s="402"/>
      <c r="I28" s="402"/>
    </row>
    <row r="29" spans="1:9" ht="30" customHeight="1" x14ac:dyDescent="0.25">
      <c r="A29" s="434" t="s">
        <v>649</v>
      </c>
      <c r="B29" s="352"/>
      <c r="C29" s="406"/>
      <c r="D29" s="369"/>
      <c r="E29" s="406">
        <f t="shared" si="2"/>
        <v>70000</v>
      </c>
      <c r="F29" s="369">
        <v>70000</v>
      </c>
      <c r="G29" s="408">
        <f>param_pbb*ZONING_PLATILLA_ITEMS</f>
        <v>70000</v>
      </c>
      <c r="H29" s="402"/>
      <c r="I29" s="402"/>
    </row>
    <row r="30" spans="1:9" ht="15" customHeight="1" x14ac:dyDescent="0.25">
      <c r="A30" s="434" t="s">
        <v>334</v>
      </c>
      <c r="B30" s="352"/>
      <c r="C30" s="406"/>
      <c r="D30" s="369"/>
      <c r="E30" s="406">
        <f t="shared" si="2"/>
        <v>0</v>
      </c>
      <c r="F30" s="369"/>
      <c r="G30" s="408"/>
      <c r="H30" s="519"/>
      <c r="I30" s="402"/>
    </row>
    <row r="31" spans="1:9" ht="15" customHeight="1" x14ac:dyDescent="0.25">
      <c r="A31" s="513" t="s">
        <v>650</v>
      </c>
      <c r="B31" s="479"/>
      <c r="C31" s="381">
        <v>350000</v>
      </c>
      <c r="D31" s="381"/>
      <c r="E31" s="381"/>
      <c r="F31" s="381"/>
      <c r="G31" s="381"/>
      <c r="H31" s="375"/>
      <c r="I31" s="402"/>
    </row>
    <row r="32" spans="1:9" ht="15" customHeight="1" x14ac:dyDescent="0.25">
      <c r="A32" s="376" t="s">
        <v>652</v>
      </c>
      <c r="B32" s="352"/>
      <c r="C32" s="369"/>
      <c r="D32" s="369"/>
      <c r="E32" s="369"/>
      <c r="F32" s="369"/>
      <c r="G32" s="369"/>
      <c r="H32" s="375"/>
      <c r="I32" s="402"/>
    </row>
    <row r="33" spans="1:9" ht="15" customHeight="1" x14ac:dyDescent="0.25">
      <c r="A33" s="378" t="s">
        <v>653</v>
      </c>
      <c r="B33" s="379"/>
      <c r="C33" s="380">
        <v>140000</v>
      </c>
      <c r="D33" s="380"/>
      <c r="E33" s="381"/>
      <c r="F33" s="380"/>
      <c r="G33" s="380"/>
      <c r="H33" s="375"/>
      <c r="I33" s="402"/>
    </row>
    <row r="34" spans="1:9" s="44" customFormat="1" ht="15" customHeight="1" x14ac:dyDescent="0.25">
      <c r="A34" s="396" t="s">
        <v>34</v>
      </c>
      <c r="B34" s="397"/>
      <c r="C34" s="416">
        <f>SUM(C11:C33)</f>
        <v>8573658.0399999991</v>
      </c>
      <c r="D34" s="416">
        <f t="shared" ref="D34:F34" si="3">SUM(D11:D33)</f>
        <v>4185617.52</v>
      </c>
      <c r="E34" s="416">
        <f t="shared" si="3"/>
        <v>4887576.9520000005</v>
      </c>
      <c r="F34" s="416">
        <f t="shared" si="3"/>
        <v>9073194.472000001</v>
      </c>
      <c r="G34" s="416">
        <f>SUM(G11:G33)</f>
        <v>9656167.6319999993</v>
      </c>
      <c r="H34" s="399"/>
      <c r="I34" s="400"/>
    </row>
    <row r="35" spans="1:9" ht="15" customHeight="1" x14ac:dyDescent="0.25">
      <c r="A35" s="429" t="s">
        <v>35</v>
      </c>
      <c r="B35" s="362"/>
      <c r="C35" s="430"/>
      <c r="D35" s="363"/>
      <c r="E35" s="430"/>
      <c r="F35" s="363"/>
      <c r="G35" s="431"/>
      <c r="H35" s="16"/>
      <c r="I35" s="402"/>
    </row>
    <row r="36" spans="1:9" ht="15" customHeight="1" x14ac:dyDescent="0.25">
      <c r="A36" s="403" t="s">
        <v>55</v>
      </c>
      <c r="B36" s="365"/>
      <c r="C36" s="404"/>
      <c r="D36" s="366"/>
      <c r="E36" s="404"/>
      <c r="F36" s="366"/>
      <c r="G36" s="405"/>
      <c r="H36" s="16"/>
      <c r="I36" s="402"/>
    </row>
    <row r="37" spans="1:9" ht="15" customHeight="1" x14ac:dyDescent="0.25">
      <c r="A37" s="373" t="s">
        <v>56</v>
      </c>
      <c r="B37" s="352" t="s">
        <v>57</v>
      </c>
      <c r="C37" s="406">
        <v>2425</v>
      </c>
      <c r="D37" s="369">
        <v>725</v>
      </c>
      <c r="E37" s="406">
        <f>F37-D37</f>
        <v>6275</v>
      </c>
      <c r="F37" s="369">
        <v>7000</v>
      </c>
      <c r="G37" s="408">
        <v>7000</v>
      </c>
      <c r="H37" s="16"/>
      <c r="I37" s="402"/>
    </row>
    <row r="38" spans="1:9" ht="15" customHeight="1" x14ac:dyDescent="0.25">
      <c r="A38" s="403" t="s">
        <v>58</v>
      </c>
      <c r="B38" s="365"/>
      <c r="C38" s="404"/>
      <c r="D38" s="366"/>
      <c r="E38" s="404"/>
      <c r="F38" s="366"/>
      <c r="G38" s="405"/>
      <c r="H38" s="16"/>
      <c r="I38" s="402"/>
    </row>
    <row r="39" spans="1:9" ht="15" customHeight="1" x14ac:dyDescent="0.25">
      <c r="A39" s="373" t="s">
        <v>61</v>
      </c>
      <c r="B39" s="352" t="s">
        <v>62</v>
      </c>
      <c r="C39" s="406">
        <v>24000</v>
      </c>
      <c r="D39" s="369">
        <v>12000</v>
      </c>
      <c r="E39" s="406">
        <f t="shared" ref="E39:E40" si="4">F39-D39</f>
        <v>24000</v>
      </c>
      <c r="F39" s="369">
        <v>36000</v>
      </c>
      <c r="G39" s="408">
        <v>36000</v>
      </c>
      <c r="H39" s="16"/>
      <c r="I39" s="402"/>
    </row>
    <row r="40" spans="1:9" ht="15" customHeight="1" x14ac:dyDescent="0.25">
      <c r="A40" s="373" t="s">
        <v>63</v>
      </c>
      <c r="B40" s="352" t="s">
        <v>64</v>
      </c>
      <c r="C40" s="406"/>
      <c r="D40" s="369">
        <v>7000</v>
      </c>
      <c r="E40" s="406">
        <f t="shared" si="4"/>
        <v>29000</v>
      </c>
      <c r="F40" s="369">
        <v>36000</v>
      </c>
      <c r="G40" s="408">
        <v>18000</v>
      </c>
      <c r="H40" s="371"/>
      <c r="I40" s="402"/>
    </row>
    <row r="41" spans="1:9" ht="15" customHeight="1" x14ac:dyDescent="0.25">
      <c r="A41" s="403" t="s">
        <v>42</v>
      </c>
      <c r="B41" s="365"/>
      <c r="C41" s="404"/>
      <c r="D41" s="366"/>
      <c r="E41" s="404"/>
      <c r="F41" s="366"/>
      <c r="G41" s="405"/>
      <c r="H41" s="16"/>
      <c r="I41" s="402"/>
    </row>
    <row r="42" spans="1:9" ht="29.25" customHeight="1" x14ac:dyDescent="0.25">
      <c r="A42" s="373" t="s">
        <v>42</v>
      </c>
      <c r="B42" s="433" t="s">
        <v>176</v>
      </c>
      <c r="C42" s="406"/>
      <c r="D42" s="369"/>
      <c r="E42" s="406">
        <f>F42-D42</f>
        <v>50000</v>
      </c>
      <c r="F42" s="369">
        <v>50000</v>
      </c>
      <c r="G42" s="369">
        <v>6000</v>
      </c>
      <c r="H42" s="16"/>
      <c r="I42" s="402"/>
    </row>
    <row r="43" spans="1:9" s="44" customFormat="1" ht="30" customHeight="1" x14ac:dyDescent="0.25">
      <c r="A43" s="396" t="s">
        <v>86</v>
      </c>
      <c r="B43" s="397"/>
      <c r="C43" s="398">
        <f>SUM(C36:C42)</f>
        <v>26425</v>
      </c>
      <c r="D43" s="398">
        <f>SUM(D36:D42)</f>
        <v>19725</v>
      </c>
      <c r="E43" s="398">
        <f>SUM(E36:E42)</f>
        <v>109275</v>
      </c>
      <c r="F43" s="398">
        <f>SUM(F36:F42)</f>
        <v>129000</v>
      </c>
      <c r="G43" s="398">
        <f>SUM(G36:G42)</f>
        <v>67000</v>
      </c>
      <c r="H43" s="784">
        <v>67000</v>
      </c>
      <c r="I43" s="400"/>
    </row>
    <row r="44" spans="1:9" ht="15" customHeight="1" x14ac:dyDescent="0.25">
      <c r="A44" s="424" t="s">
        <v>88</v>
      </c>
      <c r="B44" s="425"/>
      <c r="C44" s="426"/>
      <c r="D44" s="427"/>
      <c r="E44" s="426"/>
      <c r="F44" s="427"/>
      <c r="G44" s="428"/>
      <c r="H44" s="16"/>
    </row>
    <row r="45" spans="1:9" s="44" customFormat="1" x14ac:dyDescent="0.25">
      <c r="A45" s="396" t="s">
        <v>112</v>
      </c>
      <c r="B45" s="436"/>
      <c r="C45" s="416">
        <v>0</v>
      </c>
      <c r="D45" s="416">
        <v>0</v>
      </c>
      <c r="E45" s="416">
        <v>0</v>
      </c>
      <c r="F45" s="416">
        <v>0</v>
      </c>
      <c r="G45" s="416">
        <v>0</v>
      </c>
      <c r="H45" s="401"/>
      <c r="I45" s="400"/>
    </row>
    <row r="46" spans="1:9" s="53" customFormat="1" x14ac:dyDescent="0.25">
      <c r="A46" s="419" t="s">
        <v>113</v>
      </c>
      <c r="B46" s="437"/>
      <c r="C46" s="520">
        <f>C34+C43+C45</f>
        <v>8600083.0399999991</v>
      </c>
      <c r="D46" s="520">
        <f>D34+D43+D45</f>
        <v>4205342.5199999996</v>
      </c>
      <c r="E46" s="520">
        <f>E34+E43+E45</f>
        <v>4996851.9520000005</v>
      </c>
      <c r="F46" s="520">
        <f>F34+F43+F45</f>
        <v>9202194.472000001</v>
      </c>
      <c r="G46" s="520">
        <f>+ZONING_CO+ZONING_MOOE+ZONING_PS</f>
        <v>9723167.6319999993</v>
      </c>
      <c r="H46" s="521"/>
      <c r="I46" s="1052"/>
    </row>
    <row r="47" spans="1:9" x14ac:dyDescent="0.25">
      <c r="A47" s="16"/>
      <c r="B47" s="16"/>
      <c r="C47" s="16"/>
      <c r="D47" s="16"/>
      <c r="E47" s="16"/>
      <c r="F47" s="16"/>
      <c r="G47" s="16"/>
      <c r="H47" s="16"/>
      <c r="I47" s="402"/>
    </row>
    <row r="48" spans="1:9" x14ac:dyDescent="0.25">
      <c r="A48" s="16"/>
      <c r="B48" s="16"/>
      <c r="C48" s="16"/>
      <c r="D48" s="16"/>
      <c r="E48" s="16"/>
      <c r="F48" s="16"/>
      <c r="G48" s="16"/>
      <c r="H48" s="16"/>
      <c r="I48" s="402"/>
    </row>
    <row r="49" spans="1:9" x14ac:dyDescent="0.25">
      <c r="A49" s="16"/>
      <c r="B49" s="16"/>
      <c r="C49" s="16"/>
      <c r="D49" s="16"/>
      <c r="E49" s="16"/>
      <c r="F49" s="16"/>
      <c r="G49" s="16"/>
      <c r="H49" s="16"/>
      <c r="I49" s="402"/>
    </row>
    <row r="50" spans="1:9" x14ac:dyDescent="0.25">
      <c r="A50" s="16"/>
      <c r="B50" s="16"/>
      <c r="C50" s="16"/>
      <c r="D50" s="16"/>
      <c r="E50" s="16"/>
      <c r="F50" s="16"/>
      <c r="G50" s="16"/>
      <c r="H50" s="16"/>
      <c r="I50" s="402"/>
    </row>
    <row r="51" spans="1:9" x14ac:dyDescent="0.25">
      <c r="A51" s="16"/>
      <c r="B51" s="16"/>
      <c r="C51" s="16"/>
      <c r="D51" s="16"/>
      <c r="E51" s="16"/>
      <c r="F51" s="16"/>
      <c r="G51" s="16"/>
      <c r="H51" s="16"/>
      <c r="I51" s="402"/>
    </row>
    <row r="52" spans="1:9" x14ac:dyDescent="0.25">
      <c r="A52" s="16"/>
      <c r="B52" s="16"/>
      <c r="C52" s="16"/>
      <c r="D52" s="16"/>
      <c r="E52" s="16"/>
      <c r="F52" s="16"/>
      <c r="G52" s="16"/>
      <c r="H52" s="16"/>
      <c r="I52" s="402"/>
    </row>
    <row r="53" spans="1:9" x14ac:dyDescent="0.25">
      <c r="A53" s="16"/>
      <c r="B53" s="16"/>
      <c r="C53" s="16"/>
      <c r="D53" s="16"/>
      <c r="E53" s="16"/>
      <c r="F53" s="16"/>
      <c r="G53" s="16"/>
      <c r="H53" s="16"/>
      <c r="I53" s="402"/>
    </row>
    <row r="54" spans="1:9" x14ac:dyDescent="0.25">
      <c r="A54" s="16"/>
      <c r="B54" s="16"/>
      <c r="C54" s="16"/>
      <c r="D54" s="16"/>
      <c r="E54" s="16"/>
      <c r="F54" s="16"/>
      <c r="G54" s="16"/>
      <c r="H54" s="16"/>
      <c r="I54" s="402"/>
    </row>
    <row r="55" spans="1:9" x14ac:dyDescent="0.25">
      <c r="A55" s="16"/>
      <c r="B55" s="16"/>
      <c r="C55" s="16"/>
      <c r="D55" s="16"/>
      <c r="E55" s="16"/>
      <c r="F55" s="16"/>
      <c r="G55" s="16"/>
      <c r="H55" s="16"/>
      <c r="I55" s="402"/>
    </row>
    <row r="56" spans="1:9" x14ac:dyDescent="0.25">
      <c r="A56" s="16"/>
      <c r="B56" s="16"/>
      <c r="C56" s="16"/>
      <c r="D56" s="16"/>
      <c r="E56" s="16"/>
      <c r="F56" s="16"/>
      <c r="G56" s="16"/>
      <c r="H56" s="16"/>
      <c r="I56" s="402"/>
    </row>
    <row r="57" spans="1:9" x14ac:dyDescent="0.25">
      <c r="A57" s="16"/>
      <c r="B57" s="16"/>
      <c r="C57" s="16"/>
      <c r="D57" s="16"/>
      <c r="E57" s="16"/>
      <c r="F57" s="16"/>
      <c r="G57" s="16"/>
      <c r="H57" s="16"/>
      <c r="I57" s="402"/>
    </row>
    <row r="58" spans="1:9" x14ac:dyDescent="0.25">
      <c r="A58" s="16"/>
      <c r="B58" s="16"/>
      <c r="C58" s="16"/>
      <c r="D58" s="16"/>
      <c r="E58" s="16"/>
      <c r="F58" s="16"/>
      <c r="G58" s="16"/>
      <c r="H58" s="16"/>
      <c r="I58" s="402"/>
    </row>
    <row r="59" spans="1:9" x14ac:dyDescent="0.25">
      <c r="A59" s="16"/>
      <c r="B59" s="16"/>
      <c r="C59" s="16"/>
      <c r="D59" s="16"/>
      <c r="E59" s="16"/>
      <c r="F59" s="16"/>
      <c r="G59" s="16"/>
      <c r="H59" s="16"/>
      <c r="I59" s="402"/>
    </row>
    <row r="60" spans="1:9" x14ac:dyDescent="0.25">
      <c r="A60" s="16"/>
      <c r="B60" s="16"/>
      <c r="C60" s="16"/>
      <c r="D60" s="16"/>
      <c r="E60" s="16"/>
      <c r="F60" s="16"/>
      <c r="G60" s="16"/>
      <c r="H60" s="16"/>
      <c r="I60" s="402"/>
    </row>
    <row r="61" spans="1:9" x14ac:dyDescent="0.25">
      <c r="A61" s="16"/>
      <c r="B61" s="16"/>
      <c r="C61" s="16"/>
      <c r="D61" s="16"/>
      <c r="E61" s="16"/>
      <c r="F61" s="16"/>
      <c r="G61" s="16"/>
      <c r="H61" s="16"/>
      <c r="I61" s="402"/>
    </row>
    <row r="62" spans="1:9" x14ac:dyDescent="0.25">
      <c r="A62" s="16"/>
      <c r="B62" s="16"/>
      <c r="C62" s="16"/>
      <c r="D62" s="16"/>
      <c r="E62" s="16"/>
      <c r="F62" s="16"/>
      <c r="G62" s="16"/>
      <c r="H62" s="16"/>
      <c r="I62" s="402"/>
    </row>
    <row r="63" spans="1:9" x14ac:dyDescent="0.25">
      <c r="A63" s="16"/>
      <c r="B63" s="16"/>
      <c r="C63" s="16"/>
      <c r="D63" s="16"/>
      <c r="E63" s="16"/>
      <c r="F63" s="16"/>
      <c r="G63" s="16"/>
      <c r="H63" s="16"/>
      <c r="I63" s="402"/>
    </row>
    <row r="64" spans="1:9" x14ac:dyDescent="0.25">
      <c r="A64" s="16"/>
      <c r="B64" s="16"/>
      <c r="C64" s="16"/>
      <c r="D64" s="16"/>
      <c r="E64" s="16"/>
      <c r="F64" s="16"/>
      <c r="G64" s="16"/>
      <c r="H64" s="16"/>
      <c r="I64" s="402"/>
    </row>
    <row r="65" spans="1:9" x14ac:dyDescent="0.25">
      <c r="A65" s="16"/>
      <c r="B65" s="16"/>
      <c r="C65" s="16"/>
      <c r="D65" s="16"/>
      <c r="E65" s="16"/>
      <c r="F65" s="16"/>
      <c r="G65" s="16"/>
      <c r="H65" s="16"/>
      <c r="I65" s="402"/>
    </row>
    <row r="66" spans="1:9" x14ac:dyDescent="0.25">
      <c r="A66" s="16"/>
      <c r="B66" s="16"/>
      <c r="C66" s="16"/>
      <c r="D66" s="16"/>
      <c r="E66" s="16"/>
      <c r="F66" s="16"/>
      <c r="G66" s="16"/>
      <c r="H66" s="16"/>
      <c r="I66" s="402"/>
    </row>
    <row r="67" spans="1:9" x14ac:dyDescent="0.25">
      <c r="A67" s="16"/>
      <c r="B67" s="16"/>
      <c r="C67" s="16"/>
      <c r="D67" s="16"/>
      <c r="E67" s="16"/>
      <c r="F67" s="16"/>
      <c r="G67" s="16"/>
      <c r="H67" s="16"/>
      <c r="I67" s="402"/>
    </row>
    <row r="68" spans="1:9" x14ac:dyDescent="0.25">
      <c r="A68" s="16"/>
      <c r="B68" s="16"/>
      <c r="C68" s="16"/>
      <c r="D68" s="16"/>
      <c r="E68" s="16"/>
      <c r="F68" s="16"/>
      <c r="G68" s="16"/>
      <c r="H68" s="16"/>
      <c r="I68" s="402"/>
    </row>
    <row r="69" spans="1:9" x14ac:dyDescent="0.25">
      <c r="A69" s="16"/>
      <c r="B69" s="16"/>
      <c r="C69" s="16"/>
      <c r="D69" s="16"/>
      <c r="E69" s="16"/>
      <c r="F69" s="16"/>
      <c r="G69" s="16"/>
      <c r="H69" s="16"/>
      <c r="I69" s="402"/>
    </row>
    <row r="70" spans="1:9" x14ac:dyDescent="0.25">
      <c r="A70" s="16"/>
      <c r="B70" s="16"/>
      <c r="C70" s="16"/>
      <c r="D70" s="16"/>
      <c r="E70" s="16"/>
      <c r="F70" s="16"/>
      <c r="G70" s="16"/>
      <c r="H70" s="16"/>
      <c r="I70" s="402"/>
    </row>
    <row r="71" spans="1:9" x14ac:dyDescent="0.25">
      <c r="A71" s="16"/>
      <c r="B71" s="16"/>
      <c r="C71" s="16"/>
      <c r="D71" s="16"/>
      <c r="E71" s="16"/>
      <c r="F71" s="16"/>
      <c r="G71" s="16"/>
      <c r="H71" s="16"/>
      <c r="I71" s="402"/>
    </row>
    <row r="72" spans="1:9" x14ac:dyDescent="0.25">
      <c r="A72" s="16"/>
      <c r="B72" s="16"/>
      <c r="C72" s="16"/>
      <c r="D72" s="16"/>
      <c r="E72" s="16"/>
      <c r="F72" s="16"/>
      <c r="G72" s="16"/>
      <c r="H72" s="16"/>
      <c r="I72" s="402"/>
    </row>
    <row r="73" spans="1:9" x14ac:dyDescent="0.25">
      <c r="A73" s="16"/>
      <c r="B73" s="16"/>
      <c r="C73" s="16"/>
      <c r="D73" s="16"/>
      <c r="E73" s="16"/>
      <c r="F73" s="16"/>
      <c r="G73" s="16"/>
      <c r="H73" s="16"/>
      <c r="I73" s="402"/>
    </row>
    <row r="74" spans="1:9" x14ac:dyDescent="0.25">
      <c r="A74" s="16"/>
      <c r="B74" s="16"/>
      <c r="C74" s="16"/>
      <c r="D74" s="16"/>
      <c r="E74" s="16"/>
      <c r="F74" s="16"/>
      <c r="G74" s="16"/>
      <c r="H74" s="16"/>
      <c r="I74" s="402"/>
    </row>
    <row r="75" spans="1:9" x14ac:dyDescent="0.25">
      <c r="A75" s="16"/>
      <c r="B75" s="16"/>
      <c r="C75" s="16"/>
      <c r="D75" s="16"/>
      <c r="E75" s="16"/>
      <c r="F75" s="16"/>
      <c r="G75" s="16"/>
      <c r="H75" s="16"/>
      <c r="I75" s="402"/>
    </row>
    <row r="76" spans="1:9" ht="38.25" customHeight="1" x14ac:dyDescent="0.25">
      <c r="A76" s="16"/>
      <c r="B76" s="16"/>
      <c r="C76" s="16"/>
      <c r="D76" s="16"/>
      <c r="E76" s="16"/>
      <c r="F76" s="16"/>
      <c r="G76" s="16"/>
      <c r="H76" s="16"/>
      <c r="I76" s="402"/>
    </row>
    <row r="77" spans="1:9" x14ac:dyDescent="0.25">
      <c r="A77" s="16"/>
      <c r="B77" s="16"/>
      <c r="C77" s="16"/>
      <c r="D77" s="16"/>
      <c r="E77" s="16"/>
      <c r="F77" s="16"/>
      <c r="G77" s="16"/>
      <c r="H77" s="16"/>
      <c r="I77" s="402"/>
    </row>
    <row r="78" spans="1:9" x14ac:dyDescent="0.25">
      <c r="A78" s="16"/>
      <c r="B78" s="16"/>
      <c r="C78" s="16"/>
      <c r="D78" s="16"/>
      <c r="E78" s="16"/>
      <c r="F78" s="16"/>
      <c r="G78" s="16"/>
      <c r="H78" s="16"/>
      <c r="I78" s="402"/>
    </row>
    <row r="79" spans="1:9" x14ac:dyDescent="0.25">
      <c r="A79" s="16"/>
      <c r="B79" s="16"/>
      <c r="C79" s="16"/>
      <c r="D79" s="16"/>
      <c r="E79" s="16"/>
      <c r="F79" s="16"/>
      <c r="G79" s="16"/>
      <c r="H79" s="16"/>
      <c r="I79" s="402"/>
    </row>
    <row r="80" spans="1:9" x14ac:dyDescent="0.25">
      <c r="A80" s="16"/>
      <c r="B80" s="16"/>
      <c r="C80" s="16"/>
      <c r="D80" s="16"/>
      <c r="E80" s="16"/>
      <c r="F80" s="16"/>
      <c r="G80" s="16"/>
      <c r="H80" s="16"/>
      <c r="I80" s="402"/>
    </row>
    <row r="81" spans="1:9" x14ac:dyDescent="0.25">
      <c r="A81" s="16"/>
      <c r="B81" s="353"/>
      <c r="C81" s="16"/>
      <c r="D81" s="16"/>
      <c r="E81" s="16"/>
      <c r="F81" s="16"/>
      <c r="G81" s="16"/>
      <c r="H81" s="16"/>
      <c r="I81" s="402"/>
    </row>
    <row r="82" spans="1:9" x14ac:dyDescent="0.25">
      <c r="A82" s="16"/>
      <c r="B82" s="16"/>
      <c r="C82" s="16"/>
      <c r="D82" s="16"/>
      <c r="E82" s="16"/>
      <c r="F82" s="16"/>
      <c r="G82" s="16"/>
      <c r="H82" s="16"/>
      <c r="I82" s="402"/>
    </row>
    <row r="83" spans="1:9" x14ac:dyDescent="0.25">
      <c r="A83" s="16"/>
      <c r="B83" s="16"/>
      <c r="C83" s="16"/>
      <c r="D83" s="16"/>
      <c r="E83" s="16"/>
      <c r="F83" s="16"/>
      <c r="G83" s="16"/>
      <c r="H83" s="16"/>
      <c r="I83" s="402"/>
    </row>
    <row r="84" spans="1:9" x14ac:dyDescent="0.25">
      <c r="A84" s="16"/>
      <c r="B84" s="16"/>
      <c r="C84" s="16"/>
      <c r="D84" s="16"/>
      <c r="E84" s="16"/>
      <c r="F84" s="16"/>
      <c r="G84" s="16"/>
      <c r="H84" s="16"/>
      <c r="I84" s="402"/>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198" fitToHeight="0" orientation="portrait" horizontalDpi="360" verticalDpi="360" r:id="rId1"/>
  <headerFooter scaleWithDoc="0">
    <oddFooter>&amp;C&amp;"Candara,Regular"&amp;10Page &amp;"Candara,Bold"&amp;P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pageSetUpPr fitToPage="1"/>
  </sheetPr>
  <dimension ref="A1:I98"/>
  <sheetViews>
    <sheetView view="pageBreakPreview" topLeftCell="A4" zoomScale="110" zoomScaleNormal="115" zoomScaleSheetLayoutView="110" workbookViewId="0">
      <pane xSplit="2" ySplit="5" topLeftCell="C27"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6.7109375" style="41" bestFit="1" customWidth="1"/>
    <col min="9" max="9" width="12.5703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174</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1</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(1)</v>
      </c>
      <c r="B12" s="352" t="s">
        <v>6</v>
      </c>
      <c r="C12" s="406">
        <v>739011.74</v>
      </c>
      <c r="D12" s="369">
        <v>383556</v>
      </c>
      <c r="E12" s="406">
        <f>F12-D12</f>
        <v>441879.60000000009</v>
      </c>
      <c r="F12" s="369">
        <v>825435.60000000009</v>
      </c>
      <c r="G12" s="408">
        <f>H12+I12</f>
        <v>855823.20000000007</v>
      </c>
      <c r="H12" s="438">
        <v>843823.20000000007</v>
      </c>
      <c r="I12" s="49">
        <f>I14/2</f>
        <v>12000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24000</v>
      </c>
      <c r="D14" s="369">
        <v>12000</v>
      </c>
      <c r="E14" s="406">
        <f t="shared" ref="E14:E22" si="0">F14-D14</f>
        <v>12000</v>
      </c>
      <c r="F14" s="369">
        <v>24000</v>
      </c>
      <c r="G14" s="408">
        <f>param_pera*IAS_PLATILLA_ITEMS*12</f>
        <v>24000</v>
      </c>
      <c r="H14" s="440"/>
      <c r="I14" s="49">
        <v>24000</v>
      </c>
    </row>
    <row r="15" spans="1:9" ht="15" customHeight="1" x14ac:dyDescent="0.25">
      <c r="A15" s="373" t="s">
        <v>15</v>
      </c>
      <c r="B15" s="352" t="s">
        <v>16</v>
      </c>
      <c r="C15" s="406">
        <v>6000</v>
      </c>
      <c r="D15" s="369">
        <v>6000</v>
      </c>
      <c r="E15" s="406">
        <f t="shared" si="0"/>
        <v>0</v>
      </c>
      <c r="F15" s="369">
        <v>6000</v>
      </c>
      <c r="G15" s="408">
        <f>param_uniform*IAS_PLATILLA_ITEMS</f>
        <v>6000</v>
      </c>
      <c r="H15" s="440"/>
    </row>
    <row r="16" spans="1:9" ht="15" customHeight="1" x14ac:dyDescent="0.25">
      <c r="A16" s="373" t="s">
        <v>17</v>
      </c>
      <c r="B16" s="352" t="s">
        <v>18</v>
      </c>
      <c r="C16" s="406">
        <v>61574</v>
      </c>
      <c r="D16" s="369"/>
      <c r="E16" s="406">
        <f t="shared" si="0"/>
        <v>68786.3</v>
      </c>
      <c r="F16" s="369">
        <v>68786.3</v>
      </c>
      <c r="G16" s="408">
        <f>H12/12+I16</f>
        <v>76318.600000000006</v>
      </c>
      <c r="H16" s="16"/>
      <c r="I16" s="49">
        <f>I14/4</f>
        <v>6000</v>
      </c>
    </row>
    <row r="17" spans="1:9" ht="15" customHeight="1" x14ac:dyDescent="0.25">
      <c r="A17" s="373" t="s">
        <v>19</v>
      </c>
      <c r="B17" s="352" t="s">
        <v>20</v>
      </c>
      <c r="C17" s="406">
        <v>5000</v>
      </c>
      <c r="D17" s="369"/>
      <c r="E17" s="406">
        <f t="shared" si="0"/>
        <v>5000</v>
      </c>
      <c r="F17" s="369">
        <v>5000</v>
      </c>
      <c r="G17" s="408">
        <f>param_cash_gift*IAS_PLATILLA_ITEMS</f>
        <v>5000</v>
      </c>
      <c r="H17" s="440"/>
    </row>
    <row r="18" spans="1:9" ht="15" customHeight="1" x14ac:dyDescent="0.25">
      <c r="A18" s="403" t="s">
        <v>21</v>
      </c>
      <c r="B18" s="365"/>
      <c r="C18" s="404"/>
      <c r="D18" s="366"/>
      <c r="E18" s="404"/>
      <c r="F18" s="366"/>
      <c r="G18" s="405"/>
      <c r="H18" s="16"/>
    </row>
    <row r="19" spans="1:9" ht="15" customHeight="1" x14ac:dyDescent="0.25">
      <c r="A19" s="373" t="s">
        <v>22</v>
      </c>
      <c r="B19" s="352" t="s">
        <v>23</v>
      </c>
      <c r="C19" s="406">
        <v>88681.41</v>
      </c>
      <c r="D19" s="369">
        <v>46026.720000000001</v>
      </c>
      <c r="E19" s="406">
        <f t="shared" si="0"/>
        <v>53025.552000000011</v>
      </c>
      <c r="F19" s="369">
        <v>99052.272000000012</v>
      </c>
      <c r="G19" s="408">
        <f>H12*12%</f>
        <v>101258.784</v>
      </c>
      <c r="H19" s="16"/>
    </row>
    <row r="20" spans="1:9" ht="15" customHeight="1" x14ac:dyDescent="0.25">
      <c r="A20" s="373" t="s">
        <v>24</v>
      </c>
      <c r="B20" s="352" t="s">
        <v>25</v>
      </c>
      <c r="C20" s="406">
        <v>1200</v>
      </c>
      <c r="D20" s="369">
        <v>600</v>
      </c>
      <c r="E20" s="406">
        <f t="shared" si="0"/>
        <v>1200</v>
      </c>
      <c r="F20" s="369">
        <v>1800</v>
      </c>
      <c r="G20" s="408">
        <f>param_pagibig*IAS_PLATILLA_ITEMS*12</f>
        <v>1800</v>
      </c>
      <c r="H20" s="440"/>
    </row>
    <row r="21" spans="1:9" ht="15" customHeight="1" x14ac:dyDescent="0.25">
      <c r="A21" s="373" t="s">
        <v>26</v>
      </c>
      <c r="B21" s="352" t="s">
        <v>27</v>
      </c>
      <c r="C21" s="406">
        <v>10800</v>
      </c>
      <c r="D21" s="369">
        <v>7671.12</v>
      </c>
      <c r="E21" s="406">
        <f t="shared" si="0"/>
        <v>13528.880000000001</v>
      </c>
      <c r="F21" s="369">
        <v>21200</v>
      </c>
      <c r="G21" s="408">
        <f>ROUND(H21+(H21*0.1), -1)</f>
        <v>18560</v>
      </c>
      <c r="H21" s="440">
        <v>16876.46</v>
      </c>
    </row>
    <row r="22" spans="1:9" ht="15" customHeight="1" x14ac:dyDescent="0.25">
      <c r="A22" s="373" t="s">
        <v>28</v>
      </c>
      <c r="B22" s="352" t="s">
        <v>29</v>
      </c>
      <c r="C22" s="406">
        <v>1200</v>
      </c>
      <c r="D22" s="369">
        <v>600</v>
      </c>
      <c r="E22" s="406">
        <f t="shared" si="0"/>
        <v>1200</v>
      </c>
      <c r="F22" s="369">
        <v>1800</v>
      </c>
      <c r="G22" s="408">
        <f>param_ecc*IAS_PLATILLA_ITEMS*12</f>
        <v>1800</v>
      </c>
      <c r="H22" s="440"/>
    </row>
    <row r="23" spans="1:9" ht="15" customHeight="1" x14ac:dyDescent="0.25">
      <c r="A23" s="403" t="s">
        <v>30</v>
      </c>
      <c r="B23" s="365"/>
      <c r="C23" s="404"/>
      <c r="D23" s="366"/>
      <c r="E23" s="404"/>
      <c r="F23" s="366"/>
      <c r="G23" s="405"/>
      <c r="H23" s="16"/>
    </row>
    <row r="24" spans="1:9" ht="15" customHeight="1" x14ac:dyDescent="0.25">
      <c r="A24" s="373" t="s">
        <v>30</v>
      </c>
      <c r="B24" s="352" t="s">
        <v>33</v>
      </c>
      <c r="C24" s="406"/>
      <c r="D24" s="369"/>
      <c r="E24" s="406"/>
      <c r="F24" s="369"/>
      <c r="G24" s="408"/>
      <c r="H24" s="446">
        <f>SUM(G24:G30)</f>
        <v>86318.6</v>
      </c>
    </row>
    <row r="25" spans="1:9" ht="15" customHeight="1" x14ac:dyDescent="0.25">
      <c r="A25" s="434" t="s">
        <v>332</v>
      </c>
      <c r="B25" s="352"/>
      <c r="C25" s="406">
        <v>61574</v>
      </c>
      <c r="D25" s="369">
        <v>63926</v>
      </c>
      <c r="E25" s="406">
        <f t="shared" ref="E25:E27" si="1">F25-D25</f>
        <v>4860.3000000000029</v>
      </c>
      <c r="F25" s="369">
        <v>68786.3</v>
      </c>
      <c r="G25" s="408">
        <f>H12/12+I25</f>
        <v>76318.600000000006</v>
      </c>
      <c r="H25" s="16"/>
      <c r="I25" s="49">
        <f>I14/4</f>
        <v>6000</v>
      </c>
    </row>
    <row r="26" spans="1:9" ht="15" customHeight="1" x14ac:dyDescent="0.25">
      <c r="A26" s="434" t="s">
        <v>333</v>
      </c>
      <c r="B26" s="352"/>
      <c r="C26" s="406">
        <v>5000</v>
      </c>
      <c r="D26" s="369"/>
      <c r="E26" s="406">
        <f t="shared" si="1"/>
        <v>5000</v>
      </c>
      <c r="F26" s="369">
        <v>5000</v>
      </c>
      <c r="G26" s="408">
        <f>param_pei*IAS_PLATILLA_ITEMS</f>
        <v>5000</v>
      </c>
      <c r="H26" s="440"/>
    </row>
    <row r="27" spans="1:9" ht="30" customHeight="1" x14ac:dyDescent="0.25">
      <c r="A27" s="434" t="s">
        <v>649</v>
      </c>
      <c r="B27" s="352"/>
      <c r="C27" s="406"/>
      <c r="D27" s="369"/>
      <c r="E27" s="406">
        <f t="shared" si="1"/>
        <v>5000</v>
      </c>
      <c r="F27" s="369">
        <v>5000</v>
      </c>
      <c r="G27" s="408">
        <f>param_pbb*IAS_PLATILLA_ITEMS</f>
        <v>5000</v>
      </c>
      <c r="H27" s="402"/>
    </row>
    <row r="28" spans="1:9" ht="15" customHeight="1" x14ac:dyDescent="0.25">
      <c r="A28" s="513" t="s">
        <v>650</v>
      </c>
      <c r="B28" s="479"/>
      <c r="C28" s="381">
        <v>25000</v>
      </c>
      <c r="D28" s="381"/>
      <c r="E28" s="381"/>
      <c r="F28" s="381"/>
      <c r="G28" s="381"/>
      <c r="H28" s="375"/>
    </row>
    <row r="29" spans="1:9" ht="15" customHeight="1" x14ac:dyDescent="0.25">
      <c r="A29" s="376" t="s">
        <v>652</v>
      </c>
      <c r="B29" s="352"/>
      <c r="C29" s="369"/>
      <c r="D29" s="369"/>
      <c r="E29" s="369"/>
      <c r="F29" s="369"/>
      <c r="G29" s="369"/>
      <c r="H29" s="375"/>
    </row>
    <row r="30" spans="1:9" ht="15" customHeight="1" x14ac:dyDescent="0.25">
      <c r="A30" s="378" t="s">
        <v>653</v>
      </c>
      <c r="B30" s="379"/>
      <c r="C30" s="380">
        <v>10000</v>
      </c>
      <c r="D30" s="380"/>
      <c r="E30" s="381"/>
      <c r="F30" s="380"/>
      <c r="G30" s="380"/>
      <c r="H30" s="375"/>
    </row>
    <row r="31" spans="1:9" ht="15" customHeight="1" x14ac:dyDescent="0.25">
      <c r="A31" s="396" t="s">
        <v>34</v>
      </c>
      <c r="B31" s="397"/>
      <c r="C31" s="398">
        <f>SUM(C11:C30)</f>
        <v>1039041.15</v>
      </c>
      <c r="D31" s="398">
        <f t="shared" ref="D31:F31" si="2">SUM(D11:D30)</f>
        <v>520379.83999999997</v>
      </c>
      <c r="E31" s="398">
        <f t="shared" si="2"/>
        <v>611480.63200000022</v>
      </c>
      <c r="F31" s="398">
        <f t="shared" si="2"/>
        <v>1131860.4720000003</v>
      </c>
      <c r="G31" s="398">
        <f>SUM(G11:G30)</f>
        <v>1176879.1840000001</v>
      </c>
      <c r="H31" s="445"/>
    </row>
    <row r="32" spans="1:9" ht="15" customHeight="1" x14ac:dyDescent="0.25">
      <c r="A32" s="514" t="s">
        <v>35</v>
      </c>
      <c r="B32" s="515"/>
      <c r="C32" s="516"/>
      <c r="D32" s="517"/>
      <c r="E32" s="516"/>
      <c r="F32" s="517"/>
      <c r="G32" s="518">
        <v>0</v>
      </c>
      <c r="H32" s="446"/>
    </row>
    <row r="33" spans="1:8" ht="30" customHeight="1" x14ac:dyDescent="0.25">
      <c r="A33" s="396" t="s">
        <v>86</v>
      </c>
      <c r="B33" s="397"/>
      <c r="C33" s="398">
        <v>0</v>
      </c>
      <c r="D33" s="398">
        <v>0</v>
      </c>
      <c r="E33" s="398">
        <v>0</v>
      </c>
      <c r="F33" s="398">
        <v>0</v>
      </c>
      <c r="G33" s="398">
        <v>0</v>
      </c>
      <c r="H33" s="16"/>
    </row>
    <row r="34" spans="1:8" ht="15" customHeight="1" x14ac:dyDescent="0.25">
      <c r="A34" s="424" t="s">
        <v>88</v>
      </c>
      <c r="B34" s="425"/>
      <c r="C34" s="426"/>
      <c r="D34" s="427"/>
      <c r="E34" s="426"/>
      <c r="F34" s="427"/>
      <c r="G34" s="428">
        <v>0</v>
      </c>
      <c r="H34" s="16"/>
    </row>
    <row r="35" spans="1:8" ht="15" customHeight="1" x14ac:dyDescent="0.25">
      <c r="A35" s="396" t="s">
        <v>112</v>
      </c>
      <c r="B35" s="436"/>
      <c r="C35" s="398">
        <v>0</v>
      </c>
      <c r="D35" s="398">
        <v>0</v>
      </c>
      <c r="E35" s="398">
        <v>0</v>
      </c>
      <c r="F35" s="398">
        <v>0</v>
      </c>
      <c r="G35" s="398">
        <f>SUM(G34)</f>
        <v>0</v>
      </c>
      <c r="H35" s="16"/>
    </row>
    <row r="36" spans="1:8" ht="15" customHeight="1" x14ac:dyDescent="0.25">
      <c r="A36" s="454" t="s">
        <v>113</v>
      </c>
      <c r="B36" s="437"/>
      <c r="C36" s="455">
        <f>C31+C33+C35</f>
        <v>1039041.15</v>
      </c>
      <c r="D36" s="455">
        <f>D31+D33+D35</f>
        <v>520379.83999999997</v>
      </c>
      <c r="E36" s="455">
        <f>E31+E33+E35</f>
        <v>611480.63200000022</v>
      </c>
      <c r="F36" s="455">
        <f>F31+F33+F35</f>
        <v>1131860.4720000003</v>
      </c>
      <c r="G36" s="455">
        <f>G31+G33+G35</f>
        <v>1176879.1840000001</v>
      </c>
      <c r="H36" s="16"/>
    </row>
    <row r="37" spans="1:8" x14ac:dyDescent="0.25">
      <c r="A37" s="16"/>
      <c r="B37" s="16"/>
      <c r="C37" s="16"/>
      <c r="D37" s="16"/>
      <c r="E37" s="16"/>
      <c r="F37" s="16"/>
      <c r="G37" s="16"/>
      <c r="H37" s="16"/>
    </row>
    <row r="38" spans="1:8" x14ac:dyDescent="0.25">
      <c r="A38" s="16"/>
      <c r="B38" s="16"/>
      <c r="C38" s="16"/>
      <c r="D38" s="16"/>
      <c r="E38" s="16"/>
      <c r="F38" s="16"/>
      <c r="G38" s="16"/>
      <c r="H38" s="16"/>
    </row>
    <row r="39" spans="1:8" x14ac:dyDescent="0.25">
      <c r="A39" s="16"/>
      <c r="B39" s="16"/>
      <c r="C39" s="16"/>
      <c r="D39" s="16"/>
      <c r="E39" s="16"/>
      <c r="F39" s="16"/>
      <c r="G39" s="16"/>
      <c r="H39" s="16"/>
    </row>
    <row r="40" spans="1:8" x14ac:dyDescent="0.25">
      <c r="A40" s="16"/>
      <c r="B40" s="16"/>
      <c r="C40" s="16"/>
      <c r="D40" s="16"/>
      <c r="E40" s="16"/>
      <c r="F40" s="16"/>
      <c r="G40" s="16"/>
      <c r="H40" s="16"/>
    </row>
    <row r="41" spans="1:8" x14ac:dyDescent="0.25">
      <c r="A41" s="16"/>
      <c r="B41" s="16"/>
      <c r="C41" s="16"/>
      <c r="D41" s="16"/>
      <c r="E41" s="16"/>
      <c r="F41" s="16"/>
      <c r="G41" s="16"/>
      <c r="H41" s="16"/>
    </row>
    <row r="42" spans="1:8" x14ac:dyDescent="0.25">
      <c r="A42" s="16"/>
      <c r="B42" s="16"/>
      <c r="C42" s="16"/>
      <c r="D42" s="16"/>
      <c r="E42" s="16"/>
      <c r="F42" s="16"/>
      <c r="G42" s="16"/>
      <c r="H42" s="16"/>
    </row>
    <row r="43" spans="1:8" x14ac:dyDescent="0.25">
      <c r="A43" s="16"/>
      <c r="B43" s="16"/>
      <c r="C43" s="16"/>
      <c r="D43" s="16"/>
      <c r="E43" s="16"/>
      <c r="F43" s="16"/>
      <c r="G43" s="16"/>
      <c r="H43" s="16"/>
    </row>
    <row r="44" spans="1:8" x14ac:dyDescent="0.25">
      <c r="A44" s="16"/>
      <c r="B44" s="16"/>
      <c r="C44" s="16"/>
      <c r="D44" s="16"/>
      <c r="E44" s="16"/>
      <c r="F44" s="16"/>
      <c r="G44" s="16"/>
      <c r="H44" s="16"/>
    </row>
    <row r="45" spans="1:8" x14ac:dyDescent="0.25">
      <c r="A45" s="16"/>
      <c r="B45" s="16"/>
      <c r="C45" s="16"/>
      <c r="D45" s="16"/>
      <c r="E45" s="16"/>
      <c r="F45" s="16"/>
      <c r="G45" s="16"/>
      <c r="H45" s="16"/>
    </row>
    <row r="46" spans="1:8" x14ac:dyDescent="0.25">
      <c r="A46" s="16"/>
      <c r="B46" s="16"/>
      <c r="C46" s="16"/>
      <c r="D46" s="16"/>
      <c r="E46" s="16"/>
      <c r="F46" s="16"/>
      <c r="G46" s="16"/>
      <c r="H46" s="16"/>
    </row>
    <row r="47" spans="1:8" x14ac:dyDescent="0.25">
      <c r="A47" s="16"/>
      <c r="B47" s="16"/>
      <c r="C47" s="16"/>
      <c r="D47" s="16"/>
      <c r="E47" s="16"/>
      <c r="F47" s="16"/>
      <c r="G47" s="16"/>
      <c r="H47" s="16"/>
    </row>
    <row r="48" spans="1:8"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v>322824.65999999997</v>
      </c>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ht="38.25" customHeight="1"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353"/>
      <c r="C95" s="16"/>
      <c r="D95" s="16"/>
      <c r="E95" s="16"/>
      <c r="F95" s="16"/>
      <c r="G95" s="16"/>
      <c r="H95" s="16"/>
    </row>
    <row r="96" spans="1:8" x14ac:dyDescent="0.25">
      <c r="A96" s="16"/>
      <c r="B96" s="16"/>
      <c r="C96" s="16"/>
      <c r="D96" s="16"/>
      <c r="E96" s="16"/>
      <c r="F96" s="16"/>
      <c r="G96" s="16"/>
      <c r="H96" s="16"/>
    </row>
    <row r="97" spans="1:8" x14ac:dyDescent="0.25">
      <c r="A97" s="16"/>
      <c r="B97" s="16"/>
      <c r="C97" s="16"/>
      <c r="D97" s="16"/>
      <c r="E97" s="16"/>
      <c r="F97" s="16"/>
      <c r="G97" s="16"/>
      <c r="H97" s="16"/>
    </row>
    <row r="98" spans="1:8" x14ac:dyDescent="0.25">
      <c r="A98" s="16"/>
      <c r="B98" s="16"/>
      <c r="C98" s="16"/>
      <c r="D98" s="16"/>
      <c r="E98" s="16"/>
      <c r="F98" s="16"/>
      <c r="G98" s="16"/>
      <c r="H98"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63" fitToHeight="0" orientation="portrait" horizontalDpi="360" verticalDpi="360" r:id="rId1"/>
  <headerFooter scaleWithDoc="0">
    <oddFooter>&amp;C&amp;"Candara,Regular"&amp;10Page &amp;"Candara,Bold"&amp;P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07"/>
  <sheetViews>
    <sheetView view="pageBreakPreview" topLeftCell="A4" zoomScale="115" zoomScaleNormal="115" zoomScaleSheetLayoutView="115" workbookViewId="0">
      <pane xSplit="2" ySplit="5" topLeftCell="C9"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5.42578125" style="41" bestFit="1" customWidth="1"/>
    <col min="9" max="9" width="11.5703125" style="49" bestFit="1"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804</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v>
      </c>
      <c r="B12" s="352" t="s">
        <v>6</v>
      </c>
      <c r="C12" s="406"/>
      <c r="D12" s="369"/>
      <c r="E12" s="406">
        <f>F12-D12</f>
        <v>2088411.6</v>
      </c>
      <c r="F12" s="369">
        <v>2088411.6</v>
      </c>
      <c r="G12" s="408">
        <f>H12+I12</f>
        <v>2153410.7999999998</v>
      </c>
      <c r="H12" s="438">
        <v>2129410.7999999998</v>
      </c>
      <c r="I12" s="49">
        <f>I14/2</f>
        <v>24000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c r="D14" s="369"/>
      <c r="E14" s="406">
        <f t="shared" ref="E14:E19" si="0">F14-D14</f>
        <v>48000</v>
      </c>
      <c r="F14" s="369">
        <v>48000</v>
      </c>
      <c r="G14" s="408">
        <f>param_pera*IT_PLANTILLA_ITEMS*12</f>
        <v>48000</v>
      </c>
      <c r="H14" s="402"/>
      <c r="I14" s="49">
        <v>48000</v>
      </c>
    </row>
    <row r="15" spans="1:9" ht="15" customHeight="1" x14ac:dyDescent="0.25">
      <c r="A15" s="373" t="s">
        <v>11</v>
      </c>
      <c r="B15" s="352" t="s">
        <v>12</v>
      </c>
      <c r="C15" s="406"/>
      <c r="D15" s="369"/>
      <c r="E15" s="406">
        <f t="shared" si="0"/>
        <v>135000</v>
      </c>
      <c r="F15" s="369">
        <v>135000</v>
      </c>
      <c r="G15" s="369">
        <f>H15*12</f>
        <v>135000</v>
      </c>
      <c r="H15" s="440">
        <v>11250</v>
      </c>
    </row>
    <row r="16" spans="1:9" ht="15" customHeight="1" x14ac:dyDescent="0.25">
      <c r="A16" s="373" t="s">
        <v>13</v>
      </c>
      <c r="B16" s="352" t="s">
        <v>14</v>
      </c>
      <c r="C16" s="406"/>
      <c r="D16" s="369"/>
      <c r="E16" s="406">
        <f t="shared" si="0"/>
        <v>135000</v>
      </c>
      <c r="F16" s="369">
        <v>135000</v>
      </c>
      <c r="G16" s="369">
        <f>H16*12</f>
        <v>135000</v>
      </c>
      <c r="H16" s="440">
        <v>11250</v>
      </c>
    </row>
    <row r="17" spans="1:11" ht="15" customHeight="1" x14ac:dyDescent="0.25">
      <c r="A17" s="373" t="s">
        <v>15</v>
      </c>
      <c r="B17" s="352" t="s">
        <v>16</v>
      </c>
      <c r="C17" s="406"/>
      <c r="D17" s="369"/>
      <c r="E17" s="406">
        <f t="shared" si="0"/>
        <v>12000</v>
      </c>
      <c r="F17" s="369">
        <v>12000</v>
      </c>
      <c r="G17" s="408">
        <f>param_uniform*IT_PLANTILLA_ITEMS</f>
        <v>12000</v>
      </c>
      <c r="H17" s="402"/>
    </row>
    <row r="18" spans="1:11" ht="15" customHeight="1" x14ac:dyDescent="0.25">
      <c r="A18" s="373" t="s">
        <v>17</v>
      </c>
      <c r="B18" s="352" t="s">
        <v>18</v>
      </c>
      <c r="C18" s="406"/>
      <c r="D18" s="369"/>
      <c r="E18" s="406">
        <f t="shared" si="0"/>
        <v>174034.30000000002</v>
      </c>
      <c r="F18" s="369">
        <v>174034.30000000002</v>
      </c>
      <c r="G18" s="408">
        <f>H12/12+I18</f>
        <v>189450.9</v>
      </c>
      <c r="H18" s="402"/>
      <c r="I18" s="49">
        <f>I14/4</f>
        <v>12000</v>
      </c>
    </row>
    <row r="19" spans="1:11" ht="15" customHeight="1" x14ac:dyDescent="0.25">
      <c r="A19" s="373" t="s">
        <v>19</v>
      </c>
      <c r="B19" s="352" t="s">
        <v>20</v>
      </c>
      <c r="C19" s="406"/>
      <c r="D19" s="369"/>
      <c r="E19" s="406">
        <f t="shared" si="0"/>
        <v>10000</v>
      </c>
      <c r="F19" s="369">
        <v>10000</v>
      </c>
      <c r="G19" s="408">
        <f>param_cash_gift*IT_PLANTILLA_ITEMS</f>
        <v>10000</v>
      </c>
      <c r="H19" s="402"/>
    </row>
    <row r="20" spans="1:11" ht="15" customHeight="1" x14ac:dyDescent="0.25">
      <c r="A20" s="403" t="s">
        <v>21</v>
      </c>
      <c r="B20" s="365"/>
      <c r="C20" s="404"/>
      <c r="D20" s="366"/>
      <c r="E20" s="404"/>
      <c r="F20" s="366"/>
      <c r="G20" s="405"/>
      <c r="H20" s="402"/>
    </row>
    <row r="21" spans="1:11" ht="15" customHeight="1" x14ac:dyDescent="0.25">
      <c r="A21" s="373" t="s">
        <v>22</v>
      </c>
      <c r="B21" s="352" t="s">
        <v>23</v>
      </c>
      <c r="C21" s="406"/>
      <c r="D21" s="369"/>
      <c r="E21" s="406">
        <f t="shared" ref="E21:E24" si="1">F21-D21</f>
        <v>250609.39199999999</v>
      </c>
      <c r="F21" s="369">
        <v>250609.39199999999</v>
      </c>
      <c r="G21" s="408">
        <f>H12*12%</f>
        <v>255529.29599999997</v>
      </c>
      <c r="H21" s="402"/>
      <c r="K21" s="41" t="s">
        <v>610</v>
      </c>
    </row>
    <row r="22" spans="1:11" ht="15" customHeight="1" x14ac:dyDescent="0.25">
      <c r="A22" s="373" t="s">
        <v>24</v>
      </c>
      <c r="B22" s="352" t="s">
        <v>25</v>
      </c>
      <c r="C22" s="406"/>
      <c r="D22" s="369"/>
      <c r="E22" s="406">
        <f t="shared" si="1"/>
        <v>3600</v>
      </c>
      <c r="F22" s="369">
        <v>3600</v>
      </c>
      <c r="G22" s="408">
        <f>param_pagibig*IT_PLANTILLA_ITEMS*12</f>
        <v>3600</v>
      </c>
      <c r="H22" s="402"/>
    </row>
    <row r="23" spans="1:11" ht="15" customHeight="1" x14ac:dyDescent="0.25">
      <c r="A23" s="373" t="s">
        <v>26</v>
      </c>
      <c r="B23" s="352" t="s">
        <v>27</v>
      </c>
      <c r="C23" s="406"/>
      <c r="D23" s="369"/>
      <c r="E23" s="406">
        <f t="shared" si="1"/>
        <v>24000</v>
      </c>
      <c r="F23" s="369">
        <v>24000</v>
      </c>
      <c r="G23" s="408">
        <f>ROUND(H23+(H23*0.1), -1)</f>
        <v>41630</v>
      </c>
      <c r="H23" s="402">
        <v>37841.040000000001</v>
      </c>
    </row>
    <row r="24" spans="1:11" ht="15" customHeight="1" x14ac:dyDescent="0.25">
      <c r="A24" s="373" t="s">
        <v>28</v>
      </c>
      <c r="B24" s="352" t="s">
        <v>29</v>
      </c>
      <c r="C24" s="406"/>
      <c r="D24" s="369"/>
      <c r="E24" s="406">
        <f t="shared" si="1"/>
        <v>3600</v>
      </c>
      <c r="F24" s="369">
        <v>3600</v>
      </c>
      <c r="G24" s="408">
        <f>param_ecc*IT_PLANTILLA_ITEMS*12</f>
        <v>3600</v>
      </c>
      <c r="H24" s="402"/>
    </row>
    <row r="25" spans="1:11" ht="15" customHeight="1" x14ac:dyDescent="0.25">
      <c r="A25" s="403" t="s">
        <v>30</v>
      </c>
      <c r="B25" s="365"/>
      <c r="C25" s="404"/>
      <c r="D25" s="366"/>
      <c r="E25" s="404"/>
      <c r="F25" s="366"/>
      <c r="G25" s="405"/>
      <c r="H25" s="402"/>
    </row>
    <row r="26" spans="1:11" ht="15" customHeight="1" x14ac:dyDescent="0.25">
      <c r="A26" s="373" t="s">
        <v>30</v>
      </c>
      <c r="B26" s="352" t="s">
        <v>33</v>
      </c>
      <c r="C26" s="406"/>
      <c r="D26" s="369"/>
      <c r="E26" s="406"/>
      <c r="F26" s="369"/>
      <c r="G26" s="408"/>
      <c r="H26" s="519">
        <f>SUM(G26:G33)</f>
        <v>209450.9</v>
      </c>
    </row>
    <row r="27" spans="1:11" ht="15" customHeight="1" x14ac:dyDescent="0.25">
      <c r="A27" s="434" t="s">
        <v>332</v>
      </c>
      <c r="B27" s="352"/>
      <c r="C27" s="406"/>
      <c r="D27" s="369"/>
      <c r="E27" s="406">
        <f t="shared" ref="E27:E29" si="2">F27-D27</f>
        <v>174034.30000000002</v>
      </c>
      <c r="F27" s="369">
        <v>174034.30000000002</v>
      </c>
      <c r="G27" s="408">
        <f>H12/12+I27</f>
        <v>189450.9</v>
      </c>
      <c r="H27" s="16"/>
      <c r="I27" s="49">
        <f>I14/4</f>
        <v>12000</v>
      </c>
    </row>
    <row r="28" spans="1:11" ht="15" customHeight="1" x14ac:dyDescent="0.25">
      <c r="A28" s="434" t="s">
        <v>333</v>
      </c>
      <c r="B28" s="352"/>
      <c r="C28" s="406"/>
      <c r="D28" s="369"/>
      <c r="E28" s="406">
        <f t="shared" si="2"/>
        <v>10000</v>
      </c>
      <c r="F28" s="369">
        <v>10000</v>
      </c>
      <c r="G28" s="408">
        <f>param_pei*IT_PLANTILLA_ITEMS</f>
        <v>10000</v>
      </c>
      <c r="H28" s="402"/>
    </row>
    <row r="29" spans="1:11" ht="30" customHeight="1" x14ac:dyDescent="0.25">
      <c r="A29" s="434" t="s">
        <v>649</v>
      </c>
      <c r="B29" s="352"/>
      <c r="C29" s="406"/>
      <c r="D29" s="369"/>
      <c r="E29" s="406">
        <f t="shared" si="2"/>
        <v>10000</v>
      </c>
      <c r="F29" s="369">
        <v>10000</v>
      </c>
      <c r="G29" s="408">
        <f>param_pbb*IT_PLANTILLA_ITEMS</f>
        <v>10000</v>
      </c>
      <c r="H29" s="402"/>
    </row>
    <row r="30" spans="1:11" ht="15" customHeight="1" x14ac:dyDescent="0.25">
      <c r="A30" s="434" t="s">
        <v>334</v>
      </c>
      <c r="B30" s="352"/>
      <c r="C30" s="406"/>
      <c r="D30" s="369"/>
      <c r="E30" s="406"/>
      <c r="F30" s="369"/>
      <c r="G30" s="408"/>
      <c r="H30" s="519"/>
    </row>
    <row r="31" spans="1:11" ht="15" customHeight="1" x14ac:dyDescent="0.25">
      <c r="A31" s="513" t="s">
        <v>650</v>
      </c>
      <c r="B31" s="479"/>
      <c r="C31" s="381"/>
      <c r="D31" s="381"/>
      <c r="E31" s="381"/>
      <c r="F31" s="381"/>
      <c r="G31" s="381"/>
      <c r="H31" s="375"/>
    </row>
    <row r="32" spans="1:11" ht="15" customHeight="1" x14ac:dyDescent="0.25">
      <c r="A32" s="376" t="s">
        <v>652</v>
      </c>
      <c r="B32" s="352"/>
      <c r="C32" s="369"/>
      <c r="D32" s="369"/>
      <c r="E32" s="369"/>
      <c r="F32" s="369"/>
      <c r="G32" s="369"/>
      <c r="H32" s="375"/>
    </row>
    <row r="33" spans="1:8" ht="15" customHeight="1" x14ac:dyDescent="0.25">
      <c r="A33" s="378" t="s">
        <v>653</v>
      </c>
      <c r="B33" s="379"/>
      <c r="C33" s="380"/>
      <c r="D33" s="380"/>
      <c r="E33" s="381"/>
      <c r="F33" s="380"/>
      <c r="G33" s="380"/>
      <c r="H33" s="375"/>
    </row>
    <row r="34" spans="1:8" ht="15" customHeight="1" x14ac:dyDescent="0.25">
      <c r="A34" s="396" t="s">
        <v>34</v>
      </c>
      <c r="B34" s="397"/>
      <c r="C34" s="398">
        <f>SUM(C11:C33)</f>
        <v>0</v>
      </c>
      <c r="D34" s="398">
        <f t="shared" ref="D34:G34" si="3">SUM(D11:D33)</f>
        <v>0</v>
      </c>
      <c r="E34" s="398">
        <f t="shared" si="3"/>
        <v>3078289.5919999997</v>
      </c>
      <c r="F34" s="398">
        <f>SUM(F11:F33)</f>
        <v>3078289.5919999997</v>
      </c>
      <c r="G34" s="398">
        <f t="shared" si="3"/>
        <v>3196671.8959999997</v>
      </c>
      <c r="H34" s="445"/>
    </row>
    <row r="35" spans="1:8" ht="15" customHeight="1" x14ac:dyDescent="0.25">
      <c r="A35" s="429" t="s">
        <v>35</v>
      </c>
      <c r="B35" s="362"/>
      <c r="C35" s="430"/>
      <c r="D35" s="363"/>
      <c r="E35" s="430"/>
      <c r="F35" s="363"/>
      <c r="G35" s="431"/>
      <c r="H35" s="16"/>
    </row>
    <row r="36" spans="1:8" ht="15" customHeight="1" x14ac:dyDescent="0.25">
      <c r="A36" s="403" t="s">
        <v>58</v>
      </c>
      <c r="B36" s="365"/>
      <c r="C36" s="404"/>
      <c r="D36" s="366"/>
      <c r="E36" s="404"/>
      <c r="F36" s="366"/>
      <c r="G36" s="405"/>
      <c r="H36" s="16"/>
    </row>
    <row r="37" spans="1:8" ht="15" customHeight="1" x14ac:dyDescent="0.25">
      <c r="A37" s="373" t="s">
        <v>61</v>
      </c>
      <c r="B37" s="352" t="s">
        <v>62</v>
      </c>
      <c r="C37" s="406"/>
      <c r="D37" s="369"/>
      <c r="E37" s="406">
        <f>F37-D37</f>
        <v>36000</v>
      </c>
      <c r="F37" s="369">
        <v>36000</v>
      </c>
      <c r="G37" s="369">
        <v>36000</v>
      </c>
      <c r="H37" s="16"/>
    </row>
    <row r="38" spans="1:8" ht="15" customHeight="1" x14ac:dyDescent="0.25">
      <c r="A38" s="373" t="s">
        <v>63</v>
      </c>
      <c r="B38" s="352" t="s">
        <v>64</v>
      </c>
      <c r="C38" s="406"/>
      <c r="D38" s="369"/>
      <c r="E38" s="406">
        <f>F38-D38</f>
        <v>30000</v>
      </c>
      <c r="F38" s="369">
        <v>30000</v>
      </c>
      <c r="G38" s="369">
        <v>72000</v>
      </c>
      <c r="H38" s="371"/>
    </row>
    <row r="39" spans="1:8" ht="15" customHeight="1" x14ac:dyDescent="0.25">
      <c r="A39" s="403" t="s">
        <v>79</v>
      </c>
      <c r="B39" s="365"/>
      <c r="C39" s="404"/>
      <c r="D39" s="366"/>
      <c r="E39" s="404"/>
      <c r="F39" s="366"/>
      <c r="G39" s="405"/>
      <c r="H39" s="16"/>
    </row>
    <row r="40" spans="1:8" ht="15" customHeight="1" x14ac:dyDescent="0.25">
      <c r="A40" s="373" t="s">
        <v>80</v>
      </c>
      <c r="B40" s="352" t="s">
        <v>81</v>
      </c>
      <c r="C40" s="406"/>
      <c r="D40" s="369"/>
      <c r="E40" s="406">
        <f>F40-D40</f>
        <v>200000</v>
      </c>
      <c r="F40" s="369">
        <v>200000</v>
      </c>
      <c r="G40" s="408">
        <v>200000</v>
      </c>
      <c r="H40" s="16"/>
    </row>
    <row r="41" spans="1:8" ht="15" customHeight="1" x14ac:dyDescent="0.25">
      <c r="A41" s="403" t="s">
        <v>42</v>
      </c>
      <c r="B41" s="365"/>
      <c r="C41" s="404"/>
      <c r="D41" s="366"/>
      <c r="E41" s="404"/>
      <c r="F41" s="366"/>
      <c r="G41" s="405"/>
      <c r="H41" s="16"/>
    </row>
    <row r="42" spans="1:8" ht="15" customHeight="1" x14ac:dyDescent="0.25">
      <c r="A42" s="373" t="s">
        <v>42</v>
      </c>
      <c r="B42" s="433" t="s">
        <v>176</v>
      </c>
      <c r="C42" s="406"/>
      <c r="D42" s="369"/>
      <c r="E42" s="406">
        <f>F42-D42</f>
        <v>50000</v>
      </c>
      <c r="F42" s="369">
        <v>50000</v>
      </c>
      <c r="G42" s="369">
        <v>10000</v>
      </c>
      <c r="H42" s="16"/>
    </row>
    <row r="43" spans="1:8" ht="30" customHeight="1" x14ac:dyDescent="0.25">
      <c r="A43" s="396" t="s">
        <v>86</v>
      </c>
      <c r="B43" s="397"/>
      <c r="C43" s="398">
        <f>SUM(C36:C42)</f>
        <v>0</v>
      </c>
      <c r="D43" s="398">
        <f>SUM(D36:D42)</f>
        <v>0</v>
      </c>
      <c r="E43" s="398">
        <f>SUM(E36:E42)</f>
        <v>316000</v>
      </c>
      <c r="F43" s="398">
        <f>SUM(F36:F42)</f>
        <v>316000</v>
      </c>
      <c r="G43" s="398">
        <f>SUM(G36:G42)</f>
        <v>318000</v>
      </c>
      <c r="H43" s="782">
        <v>200000</v>
      </c>
    </row>
    <row r="44" spans="1:8" ht="15" customHeight="1" x14ac:dyDescent="0.25">
      <c r="A44" s="424" t="s">
        <v>88</v>
      </c>
      <c r="B44" s="425"/>
      <c r="C44" s="426"/>
      <c r="D44" s="427"/>
      <c r="E44" s="426"/>
      <c r="F44" s="427"/>
      <c r="G44" s="428"/>
      <c r="H44" s="16"/>
    </row>
    <row r="45" spans="1:8" ht="15" customHeight="1" x14ac:dyDescent="0.25">
      <c r="A45" s="396" t="s">
        <v>112</v>
      </c>
      <c r="B45" s="436"/>
      <c r="C45" s="398">
        <f>SUM(C44:C44)</f>
        <v>0</v>
      </c>
      <c r="D45" s="398">
        <f>SUM(D44:D44)</f>
        <v>0</v>
      </c>
      <c r="E45" s="398">
        <f>SUM(E44:E44)</f>
        <v>0</v>
      </c>
      <c r="F45" s="398">
        <f>SUM(F44:F44)</f>
        <v>0</v>
      </c>
      <c r="G45" s="398">
        <f>SUM(G44)</f>
        <v>0</v>
      </c>
      <c r="H45" s="16"/>
    </row>
    <row r="46" spans="1:8" ht="15" customHeight="1" x14ac:dyDescent="0.25">
      <c r="A46" s="419" t="s">
        <v>113</v>
      </c>
      <c r="B46" s="437"/>
      <c r="C46" s="421">
        <f>C34+C43+C45</f>
        <v>0</v>
      </c>
      <c r="D46" s="421">
        <f>D34+D43+D45</f>
        <v>0</v>
      </c>
      <c r="E46" s="421">
        <f>E34+E43+E45</f>
        <v>3394289.5919999997</v>
      </c>
      <c r="F46" s="421">
        <f>F34+F43+F45</f>
        <v>3394289.5919999997</v>
      </c>
      <c r="G46" s="421">
        <f>G34+G43+G45</f>
        <v>3514671.8959999997</v>
      </c>
      <c r="H46" s="16"/>
    </row>
    <row r="47" spans="1:8" x14ac:dyDescent="0.25">
      <c r="A47" s="16"/>
      <c r="B47" s="16"/>
      <c r="C47" s="16"/>
      <c r="D47" s="16"/>
      <c r="E47" s="16"/>
      <c r="F47" s="16"/>
      <c r="G47" s="16"/>
      <c r="H47" s="16"/>
    </row>
    <row r="48" spans="1:8"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v>322824.65999999997</v>
      </c>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row r="97" spans="1:8" x14ac:dyDescent="0.25">
      <c r="A97" s="16"/>
      <c r="B97" s="16"/>
      <c r="C97" s="16"/>
      <c r="D97" s="16"/>
      <c r="E97" s="16"/>
      <c r="F97" s="16"/>
      <c r="G97" s="16"/>
      <c r="H97" s="16"/>
    </row>
    <row r="98" spans="1:8" x14ac:dyDescent="0.25">
      <c r="A98" s="16"/>
      <c r="B98" s="16"/>
      <c r="C98" s="16"/>
      <c r="D98" s="16"/>
      <c r="E98" s="16"/>
      <c r="F98" s="16"/>
      <c r="G98" s="16"/>
      <c r="H98" s="16"/>
    </row>
    <row r="99" spans="1:8" ht="38.25" customHeight="1" x14ac:dyDescent="0.25">
      <c r="A99" s="16"/>
      <c r="B99" s="16"/>
      <c r="C99" s="16"/>
      <c r="D99" s="16"/>
      <c r="E99" s="16"/>
      <c r="F99" s="16"/>
      <c r="G99" s="16"/>
      <c r="H99" s="16"/>
    </row>
    <row r="100" spans="1:8" x14ac:dyDescent="0.25">
      <c r="A100" s="16"/>
      <c r="B100" s="16"/>
      <c r="C100" s="16"/>
      <c r="D100" s="16"/>
      <c r="E100" s="16"/>
      <c r="F100" s="16"/>
      <c r="G100" s="16"/>
      <c r="H100" s="16"/>
    </row>
    <row r="101" spans="1:8" x14ac:dyDescent="0.25">
      <c r="A101" s="16"/>
      <c r="B101" s="16"/>
      <c r="C101" s="16"/>
      <c r="D101" s="16"/>
      <c r="E101" s="16"/>
      <c r="F101" s="16"/>
      <c r="G101" s="16"/>
      <c r="H101" s="16"/>
    </row>
    <row r="102" spans="1:8" x14ac:dyDescent="0.25">
      <c r="A102" s="16"/>
      <c r="B102" s="16"/>
      <c r="C102" s="16"/>
      <c r="D102" s="16"/>
      <c r="E102" s="16"/>
      <c r="F102" s="16"/>
      <c r="G102" s="16"/>
      <c r="H102" s="16"/>
    </row>
    <row r="103" spans="1:8" x14ac:dyDescent="0.25">
      <c r="A103" s="16"/>
      <c r="B103" s="16"/>
      <c r="C103" s="16"/>
      <c r="D103" s="16"/>
      <c r="E103" s="16"/>
      <c r="F103" s="16"/>
      <c r="G103" s="16"/>
      <c r="H103" s="16"/>
    </row>
    <row r="104" spans="1:8" x14ac:dyDescent="0.25">
      <c r="A104" s="16"/>
      <c r="B104" s="353"/>
      <c r="C104" s="16"/>
      <c r="D104" s="16"/>
      <c r="E104" s="16"/>
      <c r="F104" s="16"/>
      <c r="G104" s="16"/>
      <c r="H104" s="16"/>
    </row>
    <row r="105" spans="1:8" x14ac:dyDescent="0.25">
      <c r="A105" s="16"/>
      <c r="B105" s="16"/>
      <c r="C105" s="16"/>
      <c r="D105" s="16"/>
      <c r="E105" s="16"/>
      <c r="F105" s="16"/>
      <c r="G105" s="16"/>
      <c r="H105" s="16"/>
    </row>
    <row r="106" spans="1:8" x14ac:dyDescent="0.25">
      <c r="A106" s="16"/>
      <c r="B106" s="16"/>
      <c r="C106" s="16"/>
      <c r="D106" s="16"/>
      <c r="E106" s="16"/>
      <c r="F106" s="16"/>
      <c r="G106" s="16"/>
      <c r="H106" s="16"/>
    </row>
    <row r="107" spans="1:8" x14ac:dyDescent="0.25">
      <c r="A107" s="16"/>
      <c r="B107" s="16"/>
      <c r="C107" s="16"/>
      <c r="D107" s="16"/>
      <c r="E107" s="16"/>
      <c r="F107" s="16"/>
      <c r="G107" s="16"/>
      <c r="H107"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pageSetUpPr fitToPage="1"/>
  </sheetPr>
  <dimension ref="A1:I100"/>
  <sheetViews>
    <sheetView view="pageBreakPreview" topLeftCell="A4" zoomScale="110" zoomScaleNormal="115" zoomScaleSheetLayoutView="110" workbookViewId="0">
      <pane xSplit="2" ySplit="5" topLeftCell="C9" activePane="bottomRight" state="frozen"/>
      <selection activeCell="C40" sqref="C40"/>
      <selection pane="topRight" activeCell="C40" sqref="C40"/>
      <selection pane="bottomLeft" activeCell="C40" sqref="C40"/>
      <selection pane="bottomRight"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5.42578125" style="41" bestFit="1" customWidth="1"/>
    <col min="9" max="9" width="12.42578125"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173</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2</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(2)</v>
      </c>
      <c r="B12" s="352" t="s">
        <v>6</v>
      </c>
      <c r="C12" s="406">
        <v>139188</v>
      </c>
      <c r="D12" s="369">
        <v>72698.5</v>
      </c>
      <c r="E12" s="406">
        <f>F12-D12</f>
        <v>285668.30000000005</v>
      </c>
      <c r="F12" s="369">
        <v>358366.80000000005</v>
      </c>
      <c r="G12" s="408">
        <f>H12+I12</f>
        <v>397124.4</v>
      </c>
      <c r="H12" s="438">
        <v>373124.4</v>
      </c>
      <c r="I12" s="49">
        <f>I14/2</f>
        <v>24000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22000</v>
      </c>
      <c r="D14" s="369">
        <v>12000</v>
      </c>
      <c r="E14" s="406">
        <f t="shared" ref="E14:E17" si="0">F14-D14</f>
        <v>36000</v>
      </c>
      <c r="F14" s="369">
        <v>48000</v>
      </c>
      <c r="G14" s="408">
        <f>param_pera*SOLIDWASTE_PLATILLA_ITEMS*12</f>
        <v>48000</v>
      </c>
      <c r="H14" s="402"/>
      <c r="I14" s="49">
        <v>48000</v>
      </c>
    </row>
    <row r="15" spans="1:9" ht="15" customHeight="1" x14ac:dyDescent="0.25">
      <c r="A15" s="373" t="s">
        <v>15</v>
      </c>
      <c r="B15" s="352" t="s">
        <v>16</v>
      </c>
      <c r="C15" s="406">
        <v>6000</v>
      </c>
      <c r="D15" s="369">
        <v>6000</v>
      </c>
      <c r="E15" s="406">
        <f t="shared" si="0"/>
        <v>6000</v>
      </c>
      <c r="F15" s="369">
        <v>12000</v>
      </c>
      <c r="G15" s="408">
        <f>param_uniform*SOLIDWASTE_PLATILLA_ITEMS</f>
        <v>12000</v>
      </c>
      <c r="H15" s="402"/>
    </row>
    <row r="16" spans="1:9" ht="15" customHeight="1" x14ac:dyDescent="0.25">
      <c r="A16" s="373" t="s">
        <v>17</v>
      </c>
      <c r="B16" s="352" t="s">
        <v>18</v>
      </c>
      <c r="C16" s="406">
        <v>11599</v>
      </c>
      <c r="D16" s="369"/>
      <c r="E16" s="406">
        <f t="shared" si="0"/>
        <v>29863.900000000005</v>
      </c>
      <c r="F16" s="369">
        <v>29863.900000000005</v>
      </c>
      <c r="G16" s="408">
        <f>H12/12+I16</f>
        <v>43093.7</v>
      </c>
      <c r="H16" s="402"/>
      <c r="I16" s="49">
        <f>I14/4</f>
        <v>12000</v>
      </c>
    </row>
    <row r="17" spans="1:9" ht="15" customHeight="1" x14ac:dyDescent="0.25">
      <c r="A17" s="373" t="s">
        <v>19</v>
      </c>
      <c r="B17" s="352" t="s">
        <v>20</v>
      </c>
      <c r="C17" s="406">
        <v>5000</v>
      </c>
      <c r="D17" s="369"/>
      <c r="E17" s="406">
        <f t="shared" si="0"/>
        <v>10000</v>
      </c>
      <c r="F17" s="369">
        <v>10000</v>
      </c>
      <c r="G17" s="408">
        <f>param_cash_gift*SOLIDWASTE_PLATILLA_ITEMS</f>
        <v>10000</v>
      </c>
      <c r="H17" s="402"/>
    </row>
    <row r="18" spans="1:9" ht="15" customHeight="1" x14ac:dyDescent="0.25">
      <c r="A18" s="403" t="s">
        <v>21</v>
      </c>
      <c r="B18" s="365"/>
      <c r="C18" s="404"/>
      <c r="D18" s="366"/>
      <c r="E18" s="404"/>
      <c r="F18" s="366"/>
      <c r="G18" s="405"/>
      <c r="H18" s="402"/>
    </row>
    <row r="19" spans="1:9" ht="15" customHeight="1" x14ac:dyDescent="0.25">
      <c r="A19" s="373" t="s">
        <v>22</v>
      </c>
      <c r="B19" s="352" t="s">
        <v>23</v>
      </c>
      <c r="C19" s="406">
        <v>16702.560000000001</v>
      </c>
      <c r="D19" s="369">
        <v>8747.58</v>
      </c>
      <c r="E19" s="406">
        <f t="shared" ref="E19:E22" si="1">F19-D19</f>
        <v>34256.436000000002</v>
      </c>
      <c r="F19" s="369">
        <v>43004.016000000003</v>
      </c>
      <c r="G19" s="408">
        <f>H12*12%</f>
        <v>44774.928</v>
      </c>
      <c r="H19" s="402"/>
    </row>
    <row r="20" spans="1:9" ht="15" customHeight="1" x14ac:dyDescent="0.25">
      <c r="A20" s="373" t="s">
        <v>24</v>
      </c>
      <c r="B20" s="352" t="s">
        <v>25</v>
      </c>
      <c r="C20" s="406">
        <v>1200</v>
      </c>
      <c r="D20" s="369">
        <v>600</v>
      </c>
      <c r="E20" s="406">
        <f t="shared" si="1"/>
        <v>3000</v>
      </c>
      <c r="F20" s="369">
        <v>3600</v>
      </c>
      <c r="G20" s="408">
        <f>param_pagibig*SOLIDWASTE_PLATILLA_ITEMS*12</f>
        <v>3600</v>
      </c>
      <c r="H20" s="402"/>
    </row>
    <row r="21" spans="1:9" ht="15" customHeight="1" x14ac:dyDescent="0.25">
      <c r="A21" s="373" t="s">
        <v>26</v>
      </c>
      <c r="B21" s="352" t="s">
        <v>27</v>
      </c>
      <c r="C21" s="406">
        <v>2066.85</v>
      </c>
      <c r="D21" s="369">
        <v>1447.8</v>
      </c>
      <c r="E21" s="406">
        <f t="shared" si="1"/>
        <v>22552.2</v>
      </c>
      <c r="F21" s="369">
        <v>24000</v>
      </c>
      <c r="G21" s="408">
        <f>ROUND(H21+(H21*0.1), -1)</f>
        <v>8210</v>
      </c>
      <c r="H21" s="402">
        <v>7462.4880000000003</v>
      </c>
    </row>
    <row r="22" spans="1:9" ht="15" customHeight="1" x14ac:dyDescent="0.25">
      <c r="A22" s="373" t="s">
        <v>28</v>
      </c>
      <c r="B22" s="352" t="s">
        <v>29</v>
      </c>
      <c r="C22" s="406">
        <v>1200</v>
      </c>
      <c r="D22" s="369">
        <v>600</v>
      </c>
      <c r="E22" s="406">
        <f t="shared" si="1"/>
        <v>3000</v>
      </c>
      <c r="F22" s="369">
        <v>3600</v>
      </c>
      <c r="G22" s="408">
        <f>param_ecc*SOLIDWASTE_PLATILLA_ITEMS*12</f>
        <v>3600</v>
      </c>
      <c r="H22" s="402"/>
    </row>
    <row r="23" spans="1:9" ht="15" customHeight="1" x14ac:dyDescent="0.25">
      <c r="A23" s="403" t="s">
        <v>30</v>
      </c>
      <c r="B23" s="365"/>
      <c r="C23" s="404"/>
      <c r="D23" s="366"/>
      <c r="E23" s="404"/>
      <c r="F23" s="366"/>
      <c r="G23" s="405"/>
      <c r="H23" s="402"/>
    </row>
    <row r="24" spans="1:9" ht="15" customHeight="1" x14ac:dyDescent="0.25">
      <c r="A24" s="373" t="s">
        <v>30</v>
      </c>
      <c r="B24" s="352" t="s">
        <v>33</v>
      </c>
      <c r="C24" s="406"/>
      <c r="D24" s="369"/>
      <c r="E24" s="406"/>
      <c r="F24" s="369"/>
      <c r="G24" s="408"/>
      <c r="H24" s="519">
        <f>SUM(G24:G31)</f>
        <v>68093.7</v>
      </c>
    </row>
    <row r="25" spans="1:9" ht="15" customHeight="1" x14ac:dyDescent="0.25">
      <c r="A25" s="434" t="s">
        <v>332</v>
      </c>
      <c r="B25" s="352"/>
      <c r="C25" s="406">
        <v>11599</v>
      </c>
      <c r="D25" s="369">
        <v>12158</v>
      </c>
      <c r="E25" s="406">
        <f t="shared" ref="E25:E27" si="2">F25-D25</f>
        <v>17705.900000000005</v>
      </c>
      <c r="F25" s="369">
        <v>29863.900000000005</v>
      </c>
      <c r="G25" s="408">
        <f>H12/12+I25</f>
        <v>43093.7</v>
      </c>
      <c r="H25" s="16"/>
      <c r="I25" s="49">
        <f>I14/4</f>
        <v>12000</v>
      </c>
    </row>
    <row r="26" spans="1:9" ht="15" customHeight="1" x14ac:dyDescent="0.25">
      <c r="A26" s="434" t="s">
        <v>333</v>
      </c>
      <c r="B26" s="352"/>
      <c r="C26" s="406">
        <v>5000</v>
      </c>
      <c r="D26" s="369"/>
      <c r="E26" s="406">
        <f t="shared" si="2"/>
        <v>10000</v>
      </c>
      <c r="F26" s="369">
        <v>10000</v>
      </c>
      <c r="G26" s="408">
        <f>param_pei*SOLIDWASTE_PLATILLA_ITEMS</f>
        <v>10000</v>
      </c>
      <c r="H26" s="402"/>
    </row>
    <row r="27" spans="1:9" ht="30" customHeight="1" x14ac:dyDescent="0.25">
      <c r="A27" s="434" t="s">
        <v>649</v>
      </c>
      <c r="B27" s="352"/>
      <c r="C27" s="406"/>
      <c r="D27" s="369"/>
      <c r="E27" s="406">
        <f t="shared" si="2"/>
        <v>10000</v>
      </c>
      <c r="F27" s="369">
        <v>10000</v>
      </c>
      <c r="G27" s="408">
        <f>param_pbb*SOLIDWASTE_PLATILLA_ITEMS</f>
        <v>10000</v>
      </c>
      <c r="H27" s="402"/>
    </row>
    <row r="28" spans="1:9" ht="15" customHeight="1" x14ac:dyDescent="0.25">
      <c r="A28" s="434" t="s">
        <v>334</v>
      </c>
      <c r="B28" s="352"/>
      <c r="C28" s="406"/>
      <c r="D28" s="369"/>
      <c r="E28" s="406"/>
      <c r="F28" s="369">
        <v>5000</v>
      </c>
      <c r="G28" s="408">
        <v>5000</v>
      </c>
      <c r="H28" s="519"/>
    </row>
    <row r="29" spans="1:9" ht="15" customHeight="1" x14ac:dyDescent="0.25">
      <c r="A29" s="513" t="s">
        <v>650</v>
      </c>
      <c r="B29" s="479"/>
      <c r="C29" s="381">
        <v>25000</v>
      </c>
      <c r="D29" s="381"/>
      <c r="E29" s="381"/>
      <c r="F29" s="381"/>
      <c r="G29" s="381"/>
      <c r="H29" s="375"/>
    </row>
    <row r="30" spans="1:9" ht="15" customHeight="1" x14ac:dyDescent="0.25">
      <c r="A30" s="376" t="s">
        <v>652</v>
      </c>
      <c r="B30" s="352"/>
      <c r="C30" s="369"/>
      <c r="D30" s="369"/>
      <c r="E30" s="369"/>
      <c r="F30" s="369"/>
      <c r="G30" s="369"/>
      <c r="H30" s="375"/>
    </row>
    <row r="31" spans="1:9" ht="15" customHeight="1" x14ac:dyDescent="0.25">
      <c r="A31" s="378" t="s">
        <v>653</v>
      </c>
      <c r="B31" s="379"/>
      <c r="C31" s="380">
        <v>10000</v>
      </c>
      <c r="D31" s="380"/>
      <c r="E31" s="381"/>
      <c r="F31" s="380"/>
      <c r="G31" s="380"/>
      <c r="H31" s="375"/>
    </row>
    <row r="32" spans="1:9" ht="15" customHeight="1" x14ac:dyDescent="0.25">
      <c r="A32" s="396" t="s">
        <v>34</v>
      </c>
      <c r="B32" s="397"/>
      <c r="C32" s="398">
        <f>SUM(C11:C31)</f>
        <v>256555.41</v>
      </c>
      <c r="D32" s="398">
        <f t="shared" ref="D32:G32" si="3">SUM(D11:D31)</f>
        <v>114251.88</v>
      </c>
      <c r="E32" s="398">
        <f t="shared" si="3"/>
        <v>468046.73600000009</v>
      </c>
      <c r="F32" s="398">
        <f t="shared" si="3"/>
        <v>587298.61600000004</v>
      </c>
      <c r="G32" s="398">
        <f t="shared" si="3"/>
        <v>638496.728</v>
      </c>
      <c r="H32" s="445"/>
    </row>
    <row r="33" spans="1:8" ht="15" customHeight="1" x14ac:dyDescent="0.25">
      <c r="A33" s="429" t="s">
        <v>35</v>
      </c>
      <c r="B33" s="362"/>
      <c r="C33" s="430"/>
      <c r="D33" s="363"/>
      <c r="E33" s="430"/>
      <c r="F33" s="363"/>
      <c r="G33" s="431"/>
      <c r="H33" s="16"/>
    </row>
    <row r="34" spans="1:8" ht="15" customHeight="1" x14ac:dyDescent="0.25">
      <c r="A34" s="403" t="s">
        <v>42</v>
      </c>
      <c r="B34" s="365"/>
      <c r="C34" s="404"/>
      <c r="D34" s="366"/>
      <c r="E34" s="404"/>
      <c r="F34" s="366"/>
      <c r="G34" s="405"/>
      <c r="H34" s="16"/>
    </row>
    <row r="35" spans="1:8" ht="15" customHeight="1" x14ac:dyDescent="0.25">
      <c r="A35" s="373" t="s">
        <v>42</v>
      </c>
      <c r="B35" s="433" t="s">
        <v>176</v>
      </c>
      <c r="C35" s="406"/>
      <c r="D35" s="369"/>
      <c r="E35" s="406"/>
      <c r="F35" s="369"/>
      <c r="G35" s="369"/>
      <c r="H35" s="16"/>
    </row>
    <row r="36" spans="1:8" ht="30" customHeight="1" x14ac:dyDescent="0.25">
      <c r="A36" s="396" t="s">
        <v>86</v>
      </c>
      <c r="B36" s="397"/>
      <c r="C36" s="398">
        <v>0</v>
      </c>
      <c r="D36" s="398">
        <f>SUM(D33:D35)</f>
        <v>0</v>
      </c>
      <c r="E36" s="398">
        <f>SUM(E33:E35)</f>
        <v>0</v>
      </c>
      <c r="F36" s="398">
        <f>SUM(F33:F35)</f>
        <v>0</v>
      </c>
      <c r="G36" s="398">
        <f>SUM(G33:G35)</f>
        <v>0</v>
      </c>
      <c r="H36" s="371"/>
    </row>
    <row r="37" spans="1:8" ht="15" customHeight="1" x14ac:dyDescent="0.25">
      <c r="A37" s="424" t="s">
        <v>88</v>
      </c>
      <c r="B37" s="425"/>
      <c r="C37" s="426"/>
      <c r="D37" s="427"/>
      <c r="E37" s="426"/>
      <c r="F37" s="427"/>
      <c r="G37" s="428"/>
      <c r="H37" s="16"/>
    </row>
    <row r="38" spans="1:8" ht="15" customHeight="1" x14ac:dyDescent="0.25">
      <c r="A38" s="396" t="s">
        <v>112</v>
      </c>
      <c r="B38" s="436"/>
      <c r="C38" s="398">
        <f>SUM(C37:C37)</f>
        <v>0</v>
      </c>
      <c r="D38" s="398">
        <f>SUM(D37:D37)</f>
        <v>0</v>
      </c>
      <c r="E38" s="398">
        <f>SUM(E37:E37)</f>
        <v>0</v>
      </c>
      <c r="F38" s="398">
        <f>SUM(F37:F37)</f>
        <v>0</v>
      </c>
      <c r="G38" s="398">
        <f>SUM(G37)</f>
        <v>0</v>
      </c>
      <c r="H38" s="16"/>
    </row>
    <row r="39" spans="1:8" ht="15" customHeight="1" x14ac:dyDescent="0.25">
      <c r="A39" s="419" t="s">
        <v>113</v>
      </c>
      <c r="B39" s="437"/>
      <c r="C39" s="421">
        <f>C32+C36+C38</f>
        <v>256555.41</v>
      </c>
      <c r="D39" s="421">
        <f>D32+D36+D38</f>
        <v>114251.88</v>
      </c>
      <c r="E39" s="421">
        <f>E32+E36+E38</f>
        <v>468046.73600000009</v>
      </c>
      <c r="F39" s="421">
        <f>F32+F36+F38</f>
        <v>587298.61600000004</v>
      </c>
      <c r="G39" s="421">
        <f>G32+G36+G38</f>
        <v>638496.728</v>
      </c>
      <c r="H39" s="16"/>
    </row>
    <row r="40" spans="1:8" x14ac:dyDescent="0.25">
      <c r="A40" s="16"/>
      <c r="B40" s="16"/>
      <c r="C40" s="16"/>
      <c r="D40" s="16"/>
      <c r="E40" s="16"/>
      <c r="F40" s="16"/>
      <c r="G40" s="16"/>
      <c r="H40" s="16"/>
    </row>
    <row r="41" spans="1:8" x14ac:dyDescent="0.25">
      <c r="A41" s="16"/>
      <c r="B41" s="16"/>
      <c r="C41" s="16"/>
      <c r="D41" s="16"/>
      <c r="E41" s="16"/>
      <c r="F41" s="16"/>
      <c r="G41" s="16"/>
      <c r="H41" s="16"/>
    </row>
    <row r="42" spans="1:8" x14ac:dyDescent="0.25">
      <c r="A42" s="16"/>
      <c r="B42" s="16"/>
      <c r="C42" s="16"/>
      <c r="D42" s="16"/>
      <c r="E42" s="16"/>
      <c r="F42" s="16"/>
      <c r="G42" s="16"/>
      <c r="H42" s="16"/>
    </row>
    <row r="43" spans="1:8" x14ac:dyDescent="0.25">
      <c r="A43" s="16"/>
      <c r="B43" s="16"/>
      <c r="C43" s="16"/>
      <c r="D43" s="16"/>
      <c r="E43" s="16"/>
      <c r="F43" s="16"/>
      <c r="G43" s="16"/>
      <c r="H43" s="16"/>
    </row>
    <row r="44" spans="1:8" x14ac:dyDescent="0.25">
      <c r="A44" s="16"/>
      <c r="B44" s="16"/>
      <c r="C44" s="16"/>
      <c r="D44" s="16"/>
      <c r="E44" s="16"/>
      <c r="F44" s="16"/>
      <c r="G44" s="16"/>
      <c r="H44" s="16"/>
    </row>
    <row r="45" spans="1:8" x14ac:dyDescent="0.25">
      <c r="A45" s="16"/>
      <c r="B45" s="16"/>
      <c r="C45" s="16"/>
      <c r="D45" s="16"/>
      <c r="E45" s="16"/>
      <c r="F45" s="16"/>
      <c r="G45" s="16"/>
      <c r="H45" s="16"/>
    </row>
    <row r="46" spans="1:8" x14ac:dyDescent="0.25">
      <c r="A46" s="16"/>
      <c r="B46" s="16"/>
      <c r="C46" s="16"/>
      <c r="D46" s="16"/>
      <c r="E46" s="16"/>
      <c r="F46" s="16"/>
      <c r="G46" s="16"/>
      <c r="H46" s="16"/>
    </row>
    <row r="47" spans="1:8" x14ac:dyDescent="0.25">
      <c r="A47" s="16"/>
      <c r="B47" s="16"/>
      <c r="C47" s="16">
        <v>322824.65999999997</v>
      </c>
      <c r="D47" s="16"/>
      <c r="E47" s="16"/>
      <c r="F47" s="16"/>
      <c r="G47" s="16"/>
      <c r="H47" s="16"/>
    </row>
    <row r="48" spans="1:8" x14ac:dyDescent="0.25">
      <c r="A48" s="16"/>
      <c r="B48" s="16"/>
      <c r="C48" s="16"/>
      <c r="D48" s="16"/>
      <c r="E48" s="16"/>
      <c r="F48" s="16"/>
      <c r="G48" s="16"/>
      <c r="H48" s="16"/>
    </row>
    <row r="49" spans="1:8" x14ac:dyDescent="0.25">
      <c r="A49" s="16"/>
      <c r="B49" s="16"/>
      <c r="C49" s="16"/>
      <c r="D49" s="16"/>
      <c r="E49" s="16"/>
      <c r="F49" s="16"/>
      <c r="G49" s="16"/>
      <c r="H49" s="16"/>
    </row>
    <row r="50" spans="1:8" x14ac:dyDescent="0.25">
      <c r="A50" s="16"/>
      <c r="B50" s="16"/>
      <c r="C50" s="16"/>
      <c r="D50" s="16"/>
      <c r="E50" s="16"/>
      <c r="F50" s="16"/>
      <c r="G50" s="16"/>
      <c r="H50" s="16"/>
    </row>
    <row r="51" spans="1:8" x14ac:dyDescent="0.25">
      <c r="A51" s="16"/>
      <c r="B51" s="16"/>
      <c r="C51" s="16"/>
      <c r="D51" s="16"/>
      <c r="E51" s="16"/>
      <c r="F51" s="16"/>
      <c r="G51" s="16"/>
      <c r="H51" s="16"/>
    </row>
    <row r="52" spans="1:8" x14ac:dyDescent="0.25">
      <c r="A52" s="16"/>
      <c r="B52" s="16"/>
      <c r="C52" s="16"/>
      <c r="D52" s="16"/>
      <c r="E52" s="16"/>
      <c r="F52" s="16"/>
      <c r="G52" s="16"/>
      <c r="H52" s="16"/>
    </row>
    <row r="53" spans="1:8" x14ac:dyDescent="0.25">
      <c r="A53" s="16"/>
      <c r="B53" s="16"/>
      <c r="C53" s="16"/>
      <c r="D53" s="16"/>
      <c r="E53" s="16"/>
      <c r="F53" s="16"/>
      <c r="G53" s="16"/>
      <c r="H53" s="16"/>
    </row>
    <row r="54" spans="1:8" x14ac:dyDescent="0.25">
      <c r="A54" s="16"/>
      <c r="B54" s="16"/>
      <c r="C54" s="16"/>
      <c r="D54" s="16"/>
      <c r="E54" s="16"/>
      <c r="F54" s="16"/>
      <c r="G54" s="16"/>
      <c r="H54" s="16"/>
    </row>
    <row r="55" spans="1:8" x14ac:dyDescent="0.25">
      <c r="A55" s="16"/>
      <c r="B55" s="16"/>
      <c r="C55" s="16"/>
      <c r="D55" s="16"/>
      <c r="E55" s="16"/>
      <c r="F55" s="16"/>
      <c r="G55" s="16"/>
      <c r="H55" s="16"/>
    </row>
    <row r="56" spans="1:8" x14ac:dyDescent="0.25">
      <c r="A56" s="16"/>
      <c r="B56" s="16"/>
      <c r="C56" s="16"/>
      <c r="D56" s="16"/>
      <c r="E56" s="16"/>
      <c r="F56" s="16"/>
      <c r="G56" s="16"/>
      <c r="H56" s="16"/>
    </row>
    <row r="57" spans="1:8" x14ac:dyDescent="0.25">
      <c r="A57" s="16"/>
      <c r="B57" s="16"/>
      <c r="C57" s="16"/>
      <c r="D57" s="16"/>
      <c r="E57" s="16"/>
      <c r="F57" s="16"/>
      <c r="G57" s="16"/>
      <c r="H57" s="16"/>
    </row>
    <row r="58" spans="1:8" x14ac:dyDescent="0.25">
      <c r="A58" s="16"/>
      <c r="B58" s="16"/>
      <c r="C58" s="16"/>
      <c r="D58" s="16"/>
      <c r="E58" s="16"/>
      <c r="F58" s="16"/>
      <c r="G58" s="16"/>
      <c r="H58" s="16"/>
    </row>
    <row r="59" spans="1:8" x14ac:dyDescent="0.25">
      <c r="A59" s="16"/>
      <c r="B59" s="16"/>
      <c r="C59" s="16"/>
      <c r="D59" s="16"/>
      <c r="E59" s="16"/>
      <c r="F59" s="16"/>
      <c r="G59" s="16"/>
      <c r="H59" s="16"/>
    </row>
    <row r="60" spans="1:8" x14ac:dyDescent="0.25">
      <c r="A60" s="16"/>
      <c r="B60" s="16"/>
      <c r="C60" s="16"/>
      <c r="D60" s="16"/>
      <c r="E60" s="16"/>
      <c r="F60" s="16"/>
      <c r="G60" s="16"/>
      <c r="H60" s="16"/>
    </row>
    <row r="61" spans="1:8" x14ac:dyDescent="0.25">
      <c r="A61" s="16"/>
      <c r="B61" s="16"/>
      <c r="C61" s="16"/>
      <c r="D61" s="16"/>
      <c r="E61" s="16"/>
      <c r="F61" s="16"/>
      <c r="G61" s="16"/>
      <c r="H61" s="16"/>
    </row>
    <row r="62" spans="1:8" x14ac:dyDescent="0.25">
      <c r="A62" s="16"/>
      <c r="B62" s="16"/>
      <c r="C62" s="16"/>
      <c r="D62" s="16"/>
      <c r="E62" s="16"/>
      <c r="F62" s="16"/>
      <c r="G62" s="16"/>
      <c r="H62" s="16"/>
    </row>
    <row r="63" spans="1:8" x14ac:dyDescent="0.25">
      <c r="A63" s="16"/>
      <c r="B63" s="16"/>
      <c r="C63" s="16"/>
      <c r="D63" s="16"/>
      <c r="E63" s="16"/>
      <c r="F63" s="16"/>
      <c r="G63" s="16"/>
      <c r="H63" s="16"/>
    </row>
    <row r="64" spans="1:8"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ht="38.25" customHeight="1"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row r="97" spans="1:8" x14ac:dyDescent="0.25">
      <c r="A97" s="16"/>
      <c r="B97" s="353"/>
      <c r="C97" s="16"/>
      <c r="D97" s="16"/>
      <c r="E97" s="16"/>
      <c r="F97" s="16"/>
      <c r="G97" s="16"/>
      <c r="H97" s="16"/>
    </row>
    <row r="98" spans="1:8" x14ac:dyDescent="0.25">
      <c r="A98" s="16"/>
      <c r="B98" s="16"/>
      <c r="C98" s="16"/>
      <c r="D98" s="16"/>
      <c r="E98" s="16"/>
      <c r="F98" s="16"/>
      <c r="G98" s="16"/>
      <c r="H98" s="16"/>
    </row>
    <row r="99" spans="1:8" x14ac:dyDescent="0.25">
      <c r="A99" s="16"/>
      <c r="B99" s="16"/>
      <c r="C99" s="16"/>
      <c r="D99" s="16"/>
      <c r="E99" s="16"/>
      <c r="F99" s="16"/>
      <c r="G99" s="16"/>
      <c r="H99" s="16"/>
    </row>
    <row r="100" spans="1:8" x14ac:dyDescent="0.25">
      <c r="A100" s="16"/>
      <c r="B100" s="16"/>
      <c r="C100" s="16"/>
      <c r="D100" s="16"/>
      <c r="E100" s="16"/>
      <c r="F100" s="16"/>
      <c r="G100" s="16"/>
      <c r="H100"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34" fitToHeight="0" orientation="portrait" horizontalDpi="360" verticalDpi="360" r:id="rId1"/>
  <headerFooter scaleWithDoc="0">
    <oddFooter>&amp;C&amp;"Candara,Regular"&amp;10Page &amp;"Candara,Bold"&amp;P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90"/>
  <sheetViews>
    <sheetView view="pageBreakPreview" topLeftCell="A28" zoomScale="115" zoomScaleNormal="115" zoomScaleSheetLayoutView="115" workbookViewId="0">
      <selection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3.7109375" style="41" bestFit="1" customWidth="1"/>
    <col min="9" max="9" width="14" style="49" customWidth="1"/>
    <col min="10" max="16384" width="9.140625" style="41"/>
  </cols>
  <sheetData>
    <row r="1" spans="1:9" ht="15" customHeight="1" x14ac:dyDescent="0.25">
      <c r="A1" s="1071" t="s">
        <v>807</v>
      </c>
      <c r="B1" s="1071"/>
      <c r="C1" s="1071"/>
      <c r="D1" s="1071"/>
      <c r="E1" s="1071"/>
      <c r="F1" s="1071"/>
      <c r="G1" s="1071"/>
    </row>
    <row r="2" spans="1:9" ht="18.75" customHeight="1" x14ac:dyDescent="0.3">
      <c r="A2" s="1072" t="s">
        <v>232</v>
      </c>
      <c r="B2" s="1072"/>
      <c r="C2" s="1072"/>
      <c r="D2" s="1072"/>
      <c r="E2" s="1072"/>
      <c r="F2" s="1072"/>
      <c r="G2" s="1072"/>
    </row>
    <row r="3" spans="1:9" ht="15.75" customHeight="1" x14ac:dyDescent="0.25">
      <c r="A3" s="1073" t="s">
        <v>233</v>
      </c>
      <c r="B3" s="1073"/>
      <c r="C3" s="1073"/>
      <c r="D3" s="1073"/>
      <c r="E3" s="1073"/>
      <c r="F3" s="1073"/>
      <c r="G3" s="1073"/>
    </row>
    <row r="4" spans="1:9" ht="15" customHeight="1" x14ac:dyDescent="0.25">
      <c r="A4" s="1074" t="s">
        <v>294</v>
      </c>
      <c r="B4" s="1075"/>
      <c r="C4" s="1075"/>
      <c r="D4" s="1075"/>
      <c r="E4" s="1075"/>
      <c r="F4" s="1075"/>
      <c r="G4" s="1075"/>
    </row>
    <row r="6" spans="1:9" s="43" customFormat="1" ht="12" x14ac:dyDescent="0.2">
      <c r="A6" s="1099" t="s">
        <v>1</v>
      </c>
      <c r="B6" s="1099" t="s">
        <v>2</v>
      </c>
      <c r="C6" s="1099" t="s">
        <v>310</v>
      </c>
      <c r="D6" s="1100" t="s">
        <v>307</v>
      </c>
      <c r="E6" s="1100"/>
      <c r="F6" s="1100"/>
      <c r="G6" s="1099" t="s">
        <v>311</v>
      </c>
      <c r="H6" s="358"/>
      <c r="I6" s="1046"/>
    </row>
    <row r="7" spans="1:9" s="43" customFormat="1" ht="12" x14ac:dyDescent="0.2">
      <c r="A7" s="1099"/>
      <c r="B7" s="1099"/>
      <c r="C7" s="1099"/>
      <c r="D7" s="1100"/>
      <c r="E7" s="1100"/>
      <c r="F7" s="1100"/>
      <c r="G7" s="1099"/>
      <c r="H7" s="358"/>
      <c r="I7" s="1046"/>
    </row>
    <row r="8" spans="1:9" s="43" customFormat="1" ht="24" x14ac:dyDescent="0.2">
      <c r="A8" s="1099"/>
      <c r="B8" s="1099"/>
      <c r="C8" s="1099"/>
      <c r="D8" s="359" t="s">
        <v>308</v>
      </c>
      <c r="E8" s="359" t="s">
        <v>309</v>
      </c>
      <c r="F8" s="359" t="s">
        <v>3</v>
      </c>
      <c r="G8" s="1099"/>
      <c r="H8" s="358"/>
      <c r="I8" s="1046"/>
    </row>
    <row r="9" spans="1:9" s="70" customFormat="1" ht="11.25" x14ac:dyDescent="0.25">
      <c r="A9" s="360">
        <v>1</v>
      </c>
      <c r="B9" s="360">
        <v>2</v>
      </c>
      <c r="C9" s="360">
        <v>3</v>
      </c>
      <c r="D9" s="360">
        <v>4</v>
      </c>
      <c r="E9" s="360">
        <v>5</v>
      </c>
      <c r="F9" s="360">
        <v>6</v>
      </c>
      <c r="G9" s="360">
        <v>7</v>
      </c>
      <c r="H9" s="423" t="s">
        <v>497</v>
      </c>
      <c r="I9" s="1047"/>
    </row>
    <row r="10" spans="1:9" ht="15" customHeight="1" x14ac:dyDescent="0.25">
      <c r="A10" s="429" t="s">
        <v>4</v>
      </c>
      <c r="B10" s="362"/>
      <c r="C10" s="430"/>
      <c r="D10" s="363"/>
      <c r="E10" s="430"/>
      <c r="F10" s="363"/>
      <c r="G10" s="431"/>
      <c r="H10" s="18">
        <v>3</v>
      </c>
    </row>
    <row r="11" spans="1:9" ht="15" customHeight="1" x14ac:dyDescent="0.25">
      <c r="A11" s="403" t="s">
        <v>5</v>
      </c>
      <c r="B11" s="365"/>
      <c r="C11" s="404"/>
      <c r="D11" s="366"/>
      <c r="E11" s="404"/>
      <c r="F11" s="366"/>
      <c r="G11" s="405"/>
      <c r="H11" s="16"/>
    </row>
    <row r="12" spans="1:9" ht="15" customHeight="1" x14ac:dyDescent="0.25">
      <c r="A12" s="373" t="str">
        <f>"Salaries and Wages - Regular (" &amp; H10 &amp; ")"</f>
        <v>Salaries and Wages - Regular (3)</v>
      </c>
      <c r="B12" s="352" t="s">
        <v>6</v>
      </c>
      <c r="C12" s="406">
        <v>890091</v>
      </c>
      <c r="D12" s="369">
        <v>544245</v>
      </c>
      <c r="E12" s="406">
        <f>F12-D12</f>
        <v>1004445.0000000002</v>
      </c>
      <c r="F12" s="369">
        <v>1548690.0000000002</v>
      </c>
      <c r="G12" s="408">
        <f>H12+I12</f>
        <v>1622851.2000000002</v>
      </c>
      <c r="H12" s="438">
        <v>1586851.2000000002</v>
      </c>
      <c r="I12" s="49">
        <f>I14/2</f>
        <v>36000</v>
      </c>
    </row>
    <row r="13" spans="1:9" ht="15" customHeight="1" x14ac:dyDescent="0.25">
      <c r="A13" s="403" t="s">
        <v>7</v>
      </c>
      <c r="B13" s="365"/>
      <c r="C13" s="404"/>
      <c r="D13" s="366"/>
      <c r="E13" s="404"/>
      <c r="F13" s="366"/>
      <c r="G13" s="405"/>
      <c r="H13" s="16"/>
    </row>
    <row r="14" spans="1:9" ht="15" customHeight="1" x14ac:dyDescent="0.25">
      <c r="A14" s="373" t="s">
        <v>8</v>
      </c>
      <c r="B14" s="352" t="s">
        <v>9</v>
      </c>
      <c r="C14" s="406">
        <v>20000</v>
      </c>
      <c r="D14" s="369">
        <v>12000</v>
      </c>
      <c r="E14" s="406">
        <f t="shared" ref="E14:E19" si="0">F14-D14</f>
        <v>60000</v>
      </c>
      <c r="F14" s="369">
        <v>72000</v>
      </c>
      <c r="G14" s="386">
        <f>param_pera*TOURISM_PLATILLA_ITEMS*12</f>
        <v>72000</v>
      </c>
      <c r="H14" s="440"/>
      <c r="I14" s="49">
        <v>72000</v>
      </c>
    </row>
    <row r="15" spans="1:9" ht="15" customHeight="1" x14ac:dyDescent="0.25">
      <c r="A15" s="373" t="s">
        <v>11</v>
      </c>
      <c r="B15" s="352" t="s">
        <v>12</v>
      </c>
      <c r="C15" s="406">
        <v>74250</v>
      </c>
      <c r="D15" s="369">
        <v>33750</v>
      </c>
      <c r="E15" s="406">
        <f t="shared" si="0"/>
        <v>47250</v>
      </c>
      <c r="F15" s="369">
        <v>81000</v>
      </c>
      <c r="G15" s="369">
        <f>H15*12</f>
        <v>81000</v>
      </c>
      <c r="H15" s="440">
        <v>6750</v>
      </c>
    </row>
    <row r="16" spans="1:9" ht="15" customHeight="1" x14ac:dyDescent="0.25">
      <c r="A16" s="373" t="s">
        <v>13</v>
      </c>
      <c r="B16" s="352" t="s">
        <v>14</v>
      </c>
      <c r="C16" s="406">
        <v>74250</v>
      </c>
      <c r="D16" s="369">
        <v>33750</v>
      </c>
      <c r="E16" s="406">
        <f t="shared" si="0"/>
        <v>47250</v>
      </c>
      <c r="F16" s="369">
        <v>81000</v>
      </c>
      <c r="G16" s="369">
        <f>H16*12</f>
        <v>81000</v>
      </c>
      <c r="H16" s="440">
        <v>6750</v>
      </c>
    </row>
    <row r="17" spans="1:9" ht="15" customHeight="1" x14ac:dyDescent="0.25">
      <c r="A17" s="373" t="s">
        <v>15</v>
      </c>
      <c r="B17" s="352" t="s">
        <v>16</v>
      </c>
      <c r="C17" s="406"/>
      <c r="D17" s="369">
        <v>6000</v>
      </c>
      <c r="E17" s="406">
        <f t="shared" si="0"/>
        <v>12000</v>
      </c>
      <c r="F17" s="369">
        <v>18000</v>
      </c>
      <c r="G17" s="369">
        <f>param_uniform*TOURISM_PLATILLA_ITEMS</f>
        <v>18000</v>
      </c>
      <c r="H17" s="440"/>
    </row>
    <row r="18" spans="1:9" ht="15" customHeight="1" x14ac:dyDescent="0.25">
      <c r="A18" s="373" t="s">
        <v>17</v>
      </c>
      <c r="B18" s="352" t="s">
        <v>18</v>
      </c>
      <c r="C18" s="406">
        <v>88997</v>
      </c>
      <c r="D18" s="369"/>
      <c r="E18" s="406">
        <f t="shared" si="0"/>
        <v>129057.50000000001</v>
      </c>
      <c r="F18" s="369">
        <v>129057.50000000001</v>
      </c>
      <c r="G18" s="369">
        <f>H12/12+I18</f>
        <v>150237.6</v>
      </c>
      <c r="H18" s="16"/>
      <c r="I18" s="49">
        <f>I14/4</f>
        <v>18000</v>
      </c>
    </row>
    <row r="19" spans="1:9" ht="15" customHeight="1" x14ac:dyDescent="0.25">
      <c r="A19" s="373" t="s">
        <v>19</v>
      </c>
      <c r="B19" s="352" t="s">
        <v>20</v>
      </c>
      <c r="C19" s="406">
        <v>5000</v>
      </c>
      <c r="D19" s="369"/>
      <c r="E19" s="406">
        <f t="shared" si="0"/>
        <v>15000</v>
      </c>
      <c r="F19" s="369">
        <v>15000</v>
      </c>
      <c r="G19" s="369">
        <f>param_cash_gift*TOURISM_PLATILLA_ITEMS</f>
        <v>15000</v>
      </c>
      <c r="H19" s="440"/>
    </row>
    <row r="20" spans="1:9" ht="15" customHeight="1" x14ac:dyDescent="0.25">
      <c r="A20" s="403" t="s">
        <v>21</v>
      </c>
      <c r="B20" s="365"/>
      <c r="C20" s="404"/>
      <c r="D20" s="366"/>
      <c r="E20" s="404"/>
      <c r="F20" s="366"/>
      <c r="G20" s="405"/>
      <c r="H20" s="16"/>
      <c r="I20" s="49" t="s">
        <v>610</v>
      </c>
    </row>
    <row r="21" spans="1:9" ht="15" customHeight="1" x14ac:dyDescent="0.25">
      <c r="A21" s="373" t="s">
        <v>22</v>
      </c>
      <c r="B21" s="352" t="s">
        <v>23</v>
      </c>
      <c r="C21" s="406">
        <v>110421.72</v>
      </c>
      <c r="D21" s="369">
        <v>65310.48</v>
      </c>
      <c r="E21" s="406">
        <f t="shared" ref="E21:E24" si="1">F21-D21</f>
        <v>120532.32</v>
      </c>
      <c r="F21" s="369">
        <v>185842.80000000002</v>
      </c>
      <c r="G21" s="408">
        <f>H12*12%</f>
        <v>190422.14400000003</v>
      </c>
      <c r="H21" s="16"/>
    </row>
    <row r="22" spans="1:9" ht="15" customHeight="1" x14ac:dyDescent="0.25">
      <c r="A22" s="373" t="s">
        <v>24</v>
      </c>
      <c r="B22" s="352" t="s">
        <v>25</v>
      </c>
      <c r="C22" s="406">
        <v>1000</v>
      </c>
      <c r="D22" s="369">
        <v>600</v>
      </c>
      <c r="E22" s="406">
        <f t="shared" si="1"/>
        <v>4800</v>
      </c>
      <c r="F22" s="369">
        <v>5400</v>
      </c>
      <c r="G22" s="408">
        <f>param_pagibig*TOURISM_PLATILLA_ITEMS*12</f>
        <v>5400</v>
      </c>
      <c r="H22" s="440"/>
    </row>
    <row r="23" spans="1:9" ht="15" customHeight="1" x14ac:dyDescent="0.25">
      <c r="A23" s="373" t="s">
        <v>26</v>
      </c>
      <c r="B23" s="352" t="s">
        <v>27</v>
      </c>
      <c r="C23" s="406">
        <v>9000</v>
      </c>
      <c r="D23" s="369">
        <v>9600</v>
      </c>
      <c r="E23" s="406">
        <f t="shared" si="1"/>
        <v>18400</v>
      </c>
      <c r="F23" s="369">
        <v>28000</v>
      </c>
      <c r="G23" s="408">
        <f>ROUND(H23+(H23*0.1), -1)</f>
        <v>29690</v>
      </c>
      <c r="H23" s="440">
        <v>26989.85</v>
      </c>
    </row>
    <row r="24" spans="1:9" ht="15" customHeight="1" x14ac:dyDescent="0.25">
      <c r="A24" s="373" t="s">
        <v>28</v>
      </c>
      <c r="B24" s="352" t="s">
        <v>29</v>
      </c>
      <c r="C24" s="406">
        <v>1000</v>
      </c>
      <c r="D24" s="369">
        <v>600</v>
      </c>
      <c r="E24" s="406">
        <f t="shared" si="1"/>
        <v>4800</v>
      </c>
      <c r="F24" s="369">
        <v>5400</v>
      </c>
      <c r="G24" s="408">
        <f>param_ecc*TOURISM_PLATILLA_ITEMS*12</f>
        <v>5400</v>
      </c>
      <c r="H24" s="440"/>
    </row>
    <row r="25" spans="1:9" ht="15" customHeight="1" x14ac:dyDescent="0.25">
      <c r="A25" s="403" t="s">
        <v>30</v>
      </c>
      <c r="B25" s="365"/>
      <c r="C25" s="404"/>
      <c r="D25" s="366"/>
      <c r="E25" s="404"/>
      <c r="F25" s="366"/>
      <c r="G25" s="405"/>
      <c r="H25" s="16"/>
    </row>
    <row r="26" spans="1:9" ht="15" customHeight="1" x14ac:dyDescent="0.25">
      <c r="A26" s="373" t="s">
        <v>30</v>
      </c>
      <c r="B26" s="352" t="s">
        <v>33</v>
      </c>
      <c r="C26" s="406"/>
      <c r="D26" s="369"/>
      <c r="E26" s="406"/>
      <c r="F26" s="369"/>
      <c r="G26" s="408"/>
      <c r="H26" s="446">
        <f>SUM(G26:G33)</f>
        <v>185237.6</v>
      </c>
    </row>
    <row r="27" spans="1:9" ht="15" customHeight="1" x14ac:dyDescent="0.25">
      <c r="A27" s="434" t="s">
        <v>332</v>
      </c>
      <c r="B27" s="352"/>
      <c r="C27" s="406">
        <v>88997</v>
      </c>
      <c r="D27" s="369">
        <v>90709</v>
      </c>
      <c r="E27" s="406">
        <f t="shared" ref="E27:E29" si="2">F27-D27</f>
        <v>38348.500000000015</v>
      </c>
      <c r="F27" s="369">
        <v>129057.50000000001</v>
      </c>
      <c r="G27" s="408">
        <f>H12/12+I27</f>
        <v>150237.6</v>
      </c>
      <c r="H27" s="16"/>
      <c r="I27" s="49">
        <f>I14/4</f>
        <v>18000</v>
      </c>
    </row>
    <row r="28" spans="1:9" ht="15" customHeight="1" x14ac:dyDescent="0.25">
      <c r="A28" s="434" t="s">
        <v>333</v>
      </c>
      <c r="B28" s="352"/>
      <c r="C28" s="406">
        <v>5000</v>
      </c>
      <c r="D28" s="369"/>
      <c r="E28" s="406">
        <f t="shared" si="2"/>
        <v>15000</v>
      </c>
      <c r="F28" s="369">
        <v>15000</v>
      </c>
      <c r="G28" s="408">
        <f>param_pei*TOURISM_PLATILLA_ITEMS</f>
        <v>15000</v>
      </c>
      <c r="H28" s="440"/>
    </row>
    <row r="29" spans="1:9" ht="30" customHeight="1" x14ac:dyDescent="0.25">
      <c r="A29" s="441" t="s">
        <v>649</v>
      </c>
      <c r="B29" s="442"/>
      <c r="C29" s="443"/>
      <c r="D29" s="369"/>
      <c r="E29" s="406">
        <f t="shared" si="2"/>
        <v>15000</v>
      </c>
      <c r="F29" s="444">
        <v>15000</v>
      </c>
      <c r="G29" s="387">
        <f>param_pbb*TOURISM_PLATILLA_ITEMS</f>
        <v>15000</v>
      </c>
      <c r="H29" s="440"/>
    </row>
    <row r="30" spans="1:9" ht="15" customHeight="1" x14ac:dyDescent="0.25">
      <c r="A30" s="434" t="s">
        <v>334</v>
      </c>
      <c r="B30" s="352"/>
      <c r="C30" s="406"/>
      <c r="D30" s="369"/>
      <c r="E30" s="406"/>
      <c r="F30" s="369">
        <v>5000</v>
      </c>
      <c r="G30" s="408">
        <v>5000</v>
      </c>
      <c r="H30" s="519"/>
    </row>
    <row r="31" spans="1:9" ht="15" customHeight="1" x14ac:dyDescent="0.25">
      <c r="A31" s="513" t="s">
        <v>650</v>
      </c>
      <c r="B31" s="479"/>
      <c r="C31" s="381">
        <v>25000</v>
      </c>
      <c r="D31" s="381"/>
      <c r="E31" s="381"/>
      <c r="F31" s="381"/>
      <c r="G31" s="381"/>
      <c r="H31" s="375"/>
    </row>
    <row r="32" spans="1:9" ht="15" customHeight="1" x14ac:dyDescent="0.25">
      <c r="A32" s="376" t="s">
        <v>652</v>
      </c>
      <c r="B32" s="352"/>
      <c r="C32" s="369"/>
      <c r="D32" s="369"/>
      <c r="E32" s="369"/>
      <c r="F32" s="369"/>
      <c r="G32" s="369"/>
      <c r="H32" s="375"/>
    </row>
    <row r="33" spans="1:8" ht="15" customHeight="1" x14ac:dyDescent="0.25">
      <c r="A33" s="378" t="s">
        <v>653</v>
      </c>
      <c r="B33" s="379"/>
      <c r="C33" s="380">
        <v>10000</v>
      </c>
      <c r="D33" s="380"/>
      <c r="E33" s="381"/>
      <c r="F33" s="380"/>
      <c r="G33" s="380"/>
      <c r="H33" s="375"/>
    </row>
    <row r="34" spans="1:8" ht="15" customHeight="1" x14ac:dyDescent="0.25">
      <c r="A34" s="396" t="s">
        <v>34</v>
      </c>
      <c r="B34" s="397"/>
      <c r="C34" s="398">
        <f>SUM(C11:C33)</f>
        <v>1403006.72</v>
      </c>
      <c r="D34" s="398">
        <f t="shared" ref="D34:F34" si="3">SUM(D11:D33)</f>
        <v>796564.47999999998</v>
      </c>
      <c r="E34" s="398">
        <f t="shared" si="3"/>
        <v>1531883.3200000003</v>
      </c>
      <c r="F34" s="398">
        <f t="shared" si="3"/>
        <v>2333447.8000000003</v>
      </c>
      <c r="G34" s="398">
        <f>SUM(G11:G33)</f>
        <v>2456238.5440000002</v>
      </c>
      <c r="H34" s="445"/>
    </row>
    <row r="35" spans="1:8" ht="15" customHeight="1" x14ac:dyDescent="0.25">
      <c r="A35" s="429" t="s">
        <v>35</v>
      </c>
      <c r="B35" s="362"/>
      <c r="C35" s="430"/>
      <c r="D35" s="363"/>
      <c r="E35" s="430"/>
      <c r="F35" s="363"/>
      <c r="G35" s="369"/>
      <c r="H35" s="16"/>
    </row>
    <row r="36" spans="1:8" ht="15" customHeight="1" x14ac:dyDescent="0.25">
      <c r="A36" s="403" t="s">
        <v>50</v>
      </c>
      <c r="B36" s="365"/>
      <c r="C36" s="404"/>
      <c r="D36" s="366"/>
      <c r="E36" s="406"/>
      <c r="F36" s="366"/>
      <c r="G36" s="369"/>
      <c r="H36" s="16"/>
    </row>
    <row r="37" spans="1:8" ht="15" customHeight="1" x14ac:dyDescent="0.25">
      <c r="A37" s="373" t="s">
        <v>139</v>
      </c>
      <c r="B37" s="352" t="s">
        <v>138</v>
      </c>
      <c r="C37" s="406"/>
      <c r="D37" s="369"/>
      <c r="E37" s="406">
        <f t="shared" ref="E37" si="4">F37-D37</f>
        <v>0</v>
      </c>
      <c r="F37" s="369"/>
      <c r="G37" s="369"/>
      <c r="H37" s="16" t="s">
        <v>977</v>
      </c>
    </row>
    <row r="38" spans="1:8" ht="15" customHeight="1" x14ac:dyDescent="0.25">
      <c r="A38" s="403" t="s">
        <v>55</v>
      </c>
      <c r="B38" s="365"/>
      <c r="C38" s="404"/>
      <c r="D38" s="366"/>
      <c r="E38" s="406"/>
      <c r="F38" s="366"/>
      <c r="G38" s="369"/>
      <c r="H38" s="16"/>
    </row>
    <row r="39" spans="1:8" ht="15" customHeight="1" x14ac:dyDescent="0.25">
      <c r="A39" s="373" t="s">
        <v>56</v>
      </c>
      <c r="B39" s="352" t="s">
        <v>57</v>
      </c>
      <c r="C39" s="406">
        <v>830</v>
      </c>
      <c r="D39" s="369"/>
      <c r="E39" s="406">
        <f t="shared" ref="E39" si="5">F39-D39</f>
        <v>5000</v>
      </c>
      <c r="F39" s="369">
        <v>5000</v>
      </c>
      <c r="G39" s="369">
        <v>5000</v>
      </c>
      <c r="H39" s="16"/>
    </row>
    <row r="40" spans="1:8" ht="15" customHeight="1" x14ac:dyDescent="0.25">
      <c r="A40" s="403" t="s">
        <v>58</v>
      </c>
      <c r="B40" s="365"/>
      <c r="C40" s="404"/>
      <c r="D40" s="366"/>
      <c r="E40" s="406"/>
      <c r="F40" s="366"/>
      <c r="G40" s="369"/>
      <c r="H40" s="16"/>
    </row>
    <row r="41" spans="1:8" ht="15" customHeight="1" x14ac:dyDescent="0.25">
      <c r="A41" s="373" t="s">
        <v>61</v>
      </c>
      <c r="B41" s="352" t="s">
        <v>62</v>
      </c>
      <c r="C41" s="406">
        <v>15520.44</v>
      </c>
      <c r="D41" s="369">
        <v>11227</v>
      </c>
      <c r="E41" s="406">
        <f t="shared" ref="E41" si="6">F41-D41</f>
        <v>24773</v>
      </c>
      <c r="F41" s="369">
        <v>36000</v>
      </c>
      <c r="G41" s="369">
        <v>36000</v>
      </c>
      <c r="H41" s="16"/>
    </row>
    <row r="42" spans="1:8" ht="15" customHeight="1" x14ac:dyDescent="0.25">
      <c r="A42" s="373" t="s">
        <v>63</v>
      </c>
      <c r="B42" s="352" t="s">
        <v>64</v>
      </c>
      <c r="C42" s="406">
        <v>20000</v>
      </c>
      <c r="D42" s="369"/>
      <c r="E42" s="406">
        <f>F42-D42</f>
        <v>25000</v>
      </c>
      <c r="F42" s="369">
        <v>25000</v>
      </c>
      <c r="G42" s="369">
        <v>20000</v>
      </c>
      <c r="H42" s="16"/>
    </row>
    <row r="43" spans="1:8" ht="15" customHeight="1" x14ac:dyDescent="0.25">
      <c r="A43" s="403" t="s">
        <v>79</v>
      </c>
      <c r="B43" s="365"/>
      <c r="C43" s="447"/>
      <c r="D43" s="448"/>
      <c r="E43" s="447"/>
      <c r="F43" s="448"/>
      <c r="G43" s="369"/>
      <c r="H43" s="16"/>
    </row>
    <row r="44" spans="1:8" ht="15" customHeight="1" x14ac:dyDescent="0.25">
      <c r="A44" s="373" t="s">
        <v>80</v>
      </c>
      <c r="B44" s="352" t="s">
        <v>81</v>
      </c>
      <c r="C44" s="450">
        <v>200400</v>
      </c>
      <c r="D44" s="451">
        <v>97600</v>
      </c>
      <c r="E44" s="450">
        <f t="shared" ref="E44" si="7">F44-D44</f>
        <v>132400</v>
      </c>
      <c r="F44" s="451">
        <v>230000</v>
      </c>
      <c r="G44" s="369">
        <v>221200</v>
      </c>
      <c r="H44" s="452"/>
    </row>
    <row r="45" spans="1:8" ht="15" customHeight="1" x14ac:dyDescent="0.25">
      <c r="A45" s="403" t="s">
        <v>42</v>
      </c>
      <c r="B45" s="365"/>
      <c r="C45" s="404"/>
      <c r="D45" s="366"/>
      <c r="E45" s="404"/>
      <c r="F45" s="366"/>
      <c r="G45" s="369"/>
      <c r="H45" s="16"/>
    </row>
    <row r="46" spans="1:8" ht="15" customHeight="1" x14ac:dyDescent="0.25">
      <c r="A46" s="373" t="s">
        <v>42</v>
      </c>
      <c r="B46" s="352" t="s">
        <v>176</v>
      </c>
      <c r="C46" s="406">
        <v>27012.71</v>
      </c>
      <c r="D46" s="369"/>
      <c r="E46" s="406">
        <f t="shared" ref="E46" si="8">F46-D46</f>
        <v>50000</v>
      </c>
      <c r="F46" s="369">
        <v>50000</v>
      </c>
      <c r="G46" s="369">
        <v>30000</v>
      </c>
      <c r="H46" s="16"/>
    </row>
    <row r="47" spans="1:8" ht="15" customHeight="1" x14ac:dyDescent="0.25">
      <c r="A47" s="434" t="s">
        <v>911</v>
      </c>
      <c r="B47" s="352"/>
      <c r="C47" s="450"/>
      <c r="D47" s="451"/>
      <c r="E47" s="450"/>
      <c r="F47" s="451"/>
      <c r="G47" s="369">
        <v>150000</v>
      </c>
      <c r="H47" s="452"/>
    </row>
    <row r="48" spans="1:8" ht="30" customHeight="1" x14ac:dyDescent="0.25">
      <c r="A48" s="396" t="s">
        <v>86</v>
      </c>
      <c r="B48" s="397"/>
      <c r="C48" s="398">
        <f>SUM(C35:C47)</f>
        <v>263763.15000000002</v>
      </c>
      <c r="D48" s="398">
        <f>SUM(D35:D47)</f>
        <v>108827</v>
      </c>
      <c r="E48" s="398">
        <f>SUM(E35:E47)</f>
        <v>237173</v>
      </c>
      <c r="F48" s="398">
        <f>SUM(F35:F47)</f>
        <v>346000</v>
      </c>
      <c r="G48" s="398">
        <f>SUM(G35:G47)</f>
        <v>462200</v>
      </c>
      <c r="H48" s="780">
        <v>344200</v>
      </c>
    </row>
    <row r="49" spans="1:9" ht="15" customHeight="1" x14ac:dyDescent="0.25">
      <c r="A49" s="424" t="s">
        <v>88</v>
      </c>
      <c r="B49" s="425"/>
      <c r="C49" s="426"/>
      <c r="D49" s="427"/>
      <c r="E49" s="426"/>
      <c r="F49" s="427"/>
      <c r="G49" s="428"/>
      <c r="H49" s="439"/>
    </row>
    <row r="50" spans="1:9" s="45" customFormat="1" ht="15" customHeight="1" x14ac:dyDescent="0.25">
      <c r="A50" s="365" t="s">
        <v>109</v>
      </c>
      <c r="B50" s="365"/>
      <c r="C50" s="366"/>
      <c r="D50" s="366"/>
      <c r="E50" s="369"/>
      <c r="F50" s="366"/>
      <c r="G50" s="391"/>
      <c r="H50" s="410"/>
      <c r="I50" s="84"/>
    </row>
    <row r="51" spans="1:9" s="45" customFormat="1" ht="15" customHeight="1" x14ac:dyDescent="0.25">
      <c r="A51" s="368" t="s">
        <v>110</v>
      </c>
      <c r="B51" s="352" t="s">
        <v>111</v>
      </c>
      <c r="C51" s="369"/>
      <c r="D51" s="369"/>
      <c r="E51" s="369"/>
      <c r="F51" s="369"/>
      <c r="G51" s="413"/>
      <c r="H51" s="410"/>
      <c r="I51" s="84"/>
    </row>
    <row r="52" spans="1:9" ht="15" customHeight="1" x14ac:dyDescent="0.25">
      <c r="A52" s="434" t="s">
        <v>630</v>
      </c>
      <c r="B52" s="352"/>
      <c r="C52" s="406"/>
      <c r="D52" s="369"/>
      <c r="E52" s="369">
        <v>100000</v>
      </c>
      <c r="F52" s="369">
        <v>100000</v>
      </c>
      <c r="G52" s="408">
        <v>50000</v>
      </c>
      <c r="H52" s="16"/>
    </row>
    <row r="53" spans="1:9" ht="15" customHeight="1" x14ac:dyDescent="0.25">
      <c r="A53" s="396" t="s">
        <v>112</v>
      </c>
      <c r="B53" s="436"/>
      <c r="C53" s="453">
        <f t="shared" ref="C53:F53" si="9">SUM(C50:C52)</f>
        <v>0</v>
      </c>
      <c r="D53" s="453">
        <f t="shared" si="9"/>
        <v>0</v>
      </c>
      <c r="E53" s="453">
        <f t="shared" si="9"/>
        <v>100000</v>
      </c>
      <c r="F53" s="453">
        <f t="shared" si="9"/>
        <v>100000</v>
      </c>
      <c r="G53" s="453">
        <f>SUM(G50:G52)</f>
        <v>50000</v>
      </c>
      <c r="H53" s="16"/>
    </row>
    <row r="54" spans="1:9" ht="15" customHeight="1" x14ac:dyDescent="0.25">
      <c r="A54" s="454" t="s">
        <v>113</v>
      </c>
      <c r="B54" s="437"/>
      <c r="C54" s="455">
        <f>C34+C48+C53</f>
        <v>1666769.87</v>
      </c>
      <c r="D54" s="455">
        <f>D34+D48+D53</f>
        <v>905391.48</v>
      </c>
      <c r="E54" s="455">
        <f>E34+E48+E53</f>
        <v>1869056.3200000003</v>
      </c>
      <c r="F54" s="455">
        <f>F34+F48+F53</f>
        <v>2779447.8000000003</v>
      </c>
      <c r="G54" s="455">
        <f>G34+G48+G53</f>
        <v>2968438.5440000002</v>
      </c>
      <c r="H54" s="16"/>
    </row>
    <row r="55" spans="1:9" x14ac:dyDescent="0.25">
      <c r="A55" s="16"/>
      <c r="B55" s="16"/>
      <c r="C55" s="16"/>
      <c r="D55" s="16"/>
      <c r="E55" s="16"/>
      <c r="F55" s="16"/>
      <c r="G55" s="16"/>
      <c r="H55" s="16"/>
    </row>
    <row r="56" spans="1:9" x14ac:dyDescent="0.25">
      <c r="A56" s="16"/>
      <c r="B56" s="16"/>
      <c r="C56" s="16"/>
      <c r="D56" s="16"/>
      <c r="E56" s="16"/>
      <c r="F56" s="16"/>
      <c r="G56" s="16"/>
      <c r="H56" s="16"/>
    </row>
    <row r="57" spans="1:9" x14ac:dyDescent="0.25">
      <c r="A57" s="16"/>
      <c r="B57" s="16"/>
      <c r="C57" s="16"/>
      <c r="D57" s="16"/>
      <c r="E57" s="16"/>
      <c r="F57" s="16"/>
      <c r="G57" s="16"/>
      <c r="H57" s="16"/>
    </row>
    <row r="58" spans="1:9" x14ac:dyDescent="0.25">
      <c r="A58" s="16"/>
      <c r="B58" s="16"/>
      <c r="C58" s="16"/>
      <c r="D58" s="16"/>
      <c r="E58" s="16"/>
      <c r="F58" s="16"/>
      <c r="G58" s="16"/>
      <c r="H58" s="16"/>
    </row>
    <row r="59" spans="1:9" x14ac:dyDescent="0.25">
      <c r="A59" s="16"/>
      <c r="B59" s="16"/>
      <c r="C59" s="16"/>
      <c r="D59" s="16"/>
      <c r="E59" s="16"/>
      <c r="F59" s="16"/>
      <c r="G59" s="16"/>
      <c r="H59" s="16"/>
    </row>
    <row r="60" spans="1:9" x14ac:dyDescent="0.25">
      <c r="A60" s="16"/>
      <c r="B60" s="16"/>
      <c r="C60" s="16"/>
      <c r="D60" s="16"/>
      <c r="E60" s="16"/>
      <c r="F60" s="16"/>
      <c r="G60" s="16"/>
      <c r="H60" s="16"/>
    </row>
    <row r="61" spans="1:9" x14ac:dyDescent="0.25">
      <c r="A61" s="16"/>
      <c r="B61" s="16"/>
      <c r="C61" s="16"/>
      <c r="D61" s="16"/>
      <c r="E61" s="16"/>
      <c r="F61" s="16"/>
      <c r="G61" s="16"/>
      <c r="H61" s="16"/>
    </row>
    <row r="62" spans="1:9" x14ac:dyDescent="0.25">
      <c r="A62" s="16"/>
      <c r="B62" s="16"/>
      <c r="C62" s="16"/>
      <c r="D62" s="16"/>
      <c r="E62" s="16"/>
      <c r="F62" s="16"/>
      <c r="G62" s="16"/>
      <c r="H62" s="16"/>
    </row>
    <row r="63" spans="1:9" x14ac:dyDescent="0.25">
      <c r="A63" s="16"/>
      <c r="B63" s="16"/>
      <c r="C63" s="16"/>
      <c r="D63" s="16"/>
      <c r="E63" s="16"/>
      <c r="F63" s="16"/>
      <c r="G63" s="16"/>
      <c r="H63" s="16"/>
    </row>
    <row r="64" spans="1:9" x14ac:dyDescent="0.25">
      <c r="A64" s="16"/>
      <c r="B64" s="16"/>
      <c r="C64" s="16"/>
      <c r="D64" s="16"/>
      <c r="E64" s="16"/>
      <c r="F64" s="16"/>
      <c r="G64" s="16"/>
      <c r="H64" s="16"/>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v>322824.65999999997</v>
      </c>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ht="38.25" customHeight="1"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353"/>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59" fitToHeight="0" orientation="portrait" horizontalDpi="360" verticalDpi="360" r:id="rId1"/>
  <headerFooter scaleWithDoc="0">
    <oddFooter>&amp;C&amp;"Candara,Regular"&amp;10Page &amp;"Candara,Bold"&amp;P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pageSetUpPr fitToPage="1"/>
  </sheetPr>
  <dimension ref="A1:P94"/>
  <sheetViews>
    <sheetView view="pageBreakPreview" zoomScale="110" zoomScaleNormal="130" zoomScaleSheetLayoutView="110" workbookViewId="0">
      <selection activeCell="C40" sqref="C40"/>
    </sheetView>
  </sheetViews>
  <sheetFormatPr defaultColWidth="9.140625" defaultRowHeight="15" x14ac:dyDescent="0.25"/>
  <cols>
    <col min="1" max="1" width="37.7109375" style="41" customWidth="1"/>
    <col min="2" max="2" width="12.7109375" style="41" customWidth="1"/>
    <col min="3" max="7" width="14.7109375" style="41" customWidth="1"/>
    <col min="8" max="8" width="12.140625" style="41" bestFit="1" customWidth="1"/>
    <col min="9" max="9" width="9.5703125" style="41" bestFit="1" customWidth="1"/>
    <col min="10" max="16384" width="9.140625" style="41"/>
  </cols>
  <sheetData>
    <row r="1" spans="1:16" ht="15" customHeight="1" x14ac:dyDescent="0.25">
      <c r="A1" s="1071" t="s">
        <v>807</v>
      </c>
      <c r="B1" s="1071"/>
      <c r="C1" s="1071"/>
      <c r="D1" s="1071"/>
      <c r="E1" s="1071"/>
      <c r="F1" s="1071"/>
      <c r="G1" s="1071"/>
    </row>
    <row r="2" spans="1:16" ht="18.75" customHeight="1" x14ac:dyDescent="0.3">
      <c r="A2" s="1072" t="s">
        <v>232</v>
      </c>
      <c r="B2" s="1072"/>
      <c r="C2" s="1072"/>
      <c r="D2" s="1072"/>
      <c r="E2" s="1072"/>
      <c r="F2" s="1072"/>
      <c r="G2" s="1072"/>
    </row>
    <row r="3" spans="1:16" ht="15.75" customHeight="1" x14ac:dyDescent="0.25">
      <c r="A3" s="1073" t="s">
        <v>233</v>
      </c>
      <c r="B3" s="1073"/>
      <c r="C3" s="1073"/>
      <c r="D3" s="1073"/>
      <c r="E3" s="1073"/>
      <c r="F3" s="1073"/>
      <c r="G3" s="1073"/>
    </row>
    <row r="4" spans="1:16" ht="15" customHeight="1" x14ac:dyDescent="0.25">
      <c r="A4" s="1074" t="s">
        <v>812</v>
      </c>
      <c r="B4" s="1075"/>
      <c r="C4" s="1075"/>
      <c r="D4" s="1075"/>
      <c r="E4" s="1075"/>
      <c r="F4" s="1075"/>
      <c r="G4" s="1075"/>
    </row>
    <row r="6" spans="1:16" s="43" customFormat="1" ht="12" x14ac:dyDescent="0.2">
      <c r="A6" s="1099" t="s">
        <v>1</v>
      </c>
      <c r="B6" s="1099" t="s">
        <v>2</v>
      </c>
      <c r="C6" s="1099" t="s">
        <v>310</v>
      </c>
      <c r="D6" s="1100" t="s">
        <v>307</v>
      </c>
      <c r="E6" s="1100"/>
      <c r="F6" s="1100"/>
      <c r="G6" s="1099" t="s">
        <v>311</v>
      </c>
      <c r="H6" s="358"/>
      <c r="I6" s="358"/>
      <c r="J6" s="358"/>
      <c r="K6" s="358"/>
      <c r="L6" s="358"/>
      <c r="M6" s="358"/>
    </row>
    <row r="7" spans="1:16" s="43" customFormat="1" ht="12" x14ac:dyDescent="0.2">
      <c r="A7" s="1099"/>
      <c r="B7" s="1099"/>
      <c r="C7" s="1099"/>
      <c r="D7" s="1100"/>
      <c r="E7" s="1100"/>
      <c r="F7" s="1100"/>
      <c r="G7" s="1099"/>
      <c r="H7" s="358"/>
      <c r="I7" s="358"/>
      <c r="J7" s="358"/>
      <c r="K7" s="358"/>
      <c r="L7" s="358"/>
      <c r="M7" s="358"/>
    </row>
    <row r="8" spans="1:16" s="43" customFormat="1" ht="24" x14ac:dyDescent="0.2">
      <c r="A8" s="1099"/>
      <c r="B8" s="1099"/>
      <c r="C8" s="1099"/>
      <c r="D8" s="359" t="s">
        <v>308</v>
      </c>
      <c r="E8" s="359" t="s">
        <v>309</v>
      </c>
      <c r="F8" s="359" t="s">
        <v>3</v>
      </c>
      <c r="G8" s="1099"/>
      <c r="H8" s="358"/>
      <c r="I8" s="358"/>
      <c r="J8" s="358"/>
      <c r="K8" s="358"/>
      <c r="L8" s="358"/>
      <c r="M8" s="358"/>
    </row>
    <row r="9" spans="1:16" s="70" customFormat="1" ht="11.25" x14ac:dyDescent="0.25">
      <c r="A9" s="360">
        <v>1</v>
      </c>
      <c r="B9" s="360">
        <v>2</v>
      </c>
      <c r="C9" s="360">
        <v>3</v>
      </c>
      <c r="D9" s="360">
        <v>4</v>
      </c>
      <c r="E9" s="360">
        <v>5</v>
      </c>
      <c r="F9" s="360">
        <v>6</v>
      </c>
      <c r="G9" s="360">
        <v>7</v>
      </c>
      <c r="H9" s="423" t="s">
        <v>497</v>
      </c>
      <c r="I9" s="361"/>
      <c r="J9" s="361"/>
      <c r="K9" s="361"/>
      <c r="L9" s="361"/>
      <c r="M9" s="361"/>
    </row>
    <row r="10" spans="1:16" s="43" customFormat="1" ht="15" customHeight="1" x14ac:dyDescent="0.2">
      <c r="A10" s="424" t="s">
        <v>4</v>
      </c>
      <c r="B10" s="425"/>
      <c r="C10" s="426"/>
      <c r="D10" s="427"/>
      <c r="E10" s="426"/>
      <c r="F10" s="427"/>
      <c r="G10" s="428"/>
      <c r="H10" s="358"/>
      <c r="I10" s="358"/>
      <c r="J10" s="358"/>
      <c r="K10" s="358"/>
      <c r="L10" s="358"/>
      <c r="M10" s="358"/>
    </row>
    <row r="11" spans="1:16" s="43" customFormat="1" ht="15" customHeight="1" x14ac:dyDescent="0.2">
      <c r="A11" s="396" t="s">
        <v>34</v>
      </c>
      <c r="B11" s="397"/>
      <c r="C11" s="398">
        <v>0</v>
      </c>
      <c r="D11" s="398">
        <v>0</v>
      </c>
      <c r="E11" s="398">
        <v>0</v>
      </c>
      <c r="F11" s="398">
        <v>0</v>
      </c>
      <c r="G11" s="398">
        <f>SUM(G10)</f>
        <v>0</v>
      </c>
      <c r="H11" s="358"/>
      <c r="I11" s="358"/>
      <c r="J11" s="358"/>
      <c r="K11" s="358"/>
      <c r="L11" s="358"/>
      <c r="M11" s="358"/>
    </row>
    <row r="12" spans="1:16" s="43" customFormat="1" ht="15" customHeight="1" x14ac:dyDescent="0.2">
      <c r="A12" s="429" t="s">
        <v>35</v>
      </c>
      <c r="B12" s="362"/>
      <c r="C12" s="430"/>
      <c r="D12" s="363"/>
      <c r="E12" s="430"/>
      <c r="F12" s="363"/>
      <c r="G12" s="431"/>
      <c r="H12" s="358"/>
      <c r="I12" s="358"/>
      <c r="J12" s="358"/>
      <c r="K12" s="358"/>
      <c r="L12" s="358"/>
      <c r="M12" s="358"/>
    </row>
    <row r="13" spans="1:16" s="43" customFormat="1" ht="15" customHeight="1" x14ac:dyDescent="0.2">
      <c r="A13" s="403" t="s">
        <v>55</v>
      </c>
      <c r="B13" s="365"/>
      <c r="C13" s="404"/>
      <c r="D13" s="366"/>
      <c r="E13" s="406"/>
      <c r="F13" s="366"/>
      <c r="G13" s="432"/>
      <c r="H13" s="358"/>
      <c r="I13" s="358"/>
      <c r="J13" s="358"/>
      <c r="K13" s="358"/>
      <c r="L13" s="358"/>
      <c r="M13" s="358"/>
    </row>
    <row r="14" spans="1:16" s="43" customFormat="1" ht="15" customHeight="1" x14ac:dyDescent="0.2">
      <c r="A14" s="373" t="s">
        <v>56</v>
      </c>
      <c r="B14" s="352" t="s">
        <v>57</v>
      </c>
      <c r="C14" s="406">
        <v>2655</v>
      </c>
      <c r="D14" s="369"/>
      <c r="E14" s="406">
        <f>F14-D14</f>
        <v>5000</v>
      </c>
      <c r="F14" s="369">
        <v>5000</v>
      </c>
      <c r="G14" s="369">
        <v>5000</v>
      </c>
      <c r="H14" s="358"/>
      <c r="I14" s="358"/>
      <c r="J14" s="358"/>
      <c r="K14" s="358"/>
      <c r="L14" s="358"/>
      <c r="M14" s="358"/>
      <c r="P14" s="43" t="s">
        <v>610</v>
      </c>
    </row>
    <row r="15" spans="1:16" s="43" customFormat="1" ht="15" customHeight="1" x14ac:dyDescent="0.2">
      <c r="A15" s="403" t="s">
        <v>58</v>
      </c>
      <c r="B15" s="365"/>
      <c r="C15" s="404"/>
      <c r="D15" s="366"/>
      <c r="E15" s="406"/>
      <c r="F15" s="366"/>
      <c r="G15" s="405"/>
      <c r="H15" s="358"/>
      <c r="I15" s="358"/>
      <c r="J15" s="358"/>
      <c r="K15" s="358"/>
      <c r="L15" s="358"/>
      <c r="M15" s="358"/>
    </row>
    <row r="16" spans="1:16" ht="15" customHeight="1" x14ac:dyDescent="0.25">
      <c r="A16" s="373" t="s">
        <v>61</v>
      </c>
      <c r="B16" s="352" t="s">
        <v>62</v>
      </c>
      <c r="C16" s="406">
        <v>25489</v>
      </c>
      <c r="D16" s="369">
        <v>9417</v>
      </c>
      <c r="E16" s="406">
        <f t="shared" ref="E16:E17" si="0">F16-D16</f>
        <v>14583</v>
      </c>
      <c r="F16" s="369">
        <v>24000</v>
      </c>
      <c r="G16" s="369">
        <v>36000</v>
      </c>
      <c r="H16" s="16"/>
      <c r="I16" s="16"/>
      <c r="J16" s="16"/>
      <c r="K16" s="16"/>
      <c r="L16" s="16"/>
      <c r="M16" s="16"/>
    </row>
    <row r="17" spans="1:13" s="43" customFormat="1" ht="15" customHeight="1" x14ac:dyDescent="0.2">
      <c r="A17" s="373" t="s">
        <v>63</v>
      </c>
      <c r="B17" s="352" t="s">
        <v>64</v>
      </c>
      <c r="C17" s="406">
        <v>36999</v>
      </c>
      <c r="D17" s="369">
        <v>14000</v>
      </c>
      <c r="E17" s="406">
        <f t="shared" si="0"/>
        <v>26000</v>
      </c>
      <c r="F17" s="369">
        <v>40000</v>
      </c>
      <c r="G17" s="369">
        <v>42000</v>
      </c>
      <c r="H17" s="358"/>
      <c r="I17" s="358"/>
      <c r="J17" s="358"/>
      <c r="K17" s="358"/>
      <c r="L17" s="358"/>
      <c r="M17" s="358"/>
    </row>
    <row r="18" spans="1:13" s="43" customFormat="1" ht="15" customHeight="1" x14ac:dyDescent="0.2">
      <c r="A18" s="403" t="s">
        <v>79</v>
      </c>
      <c r="B18" s="365"/>
      <c r="C18" s="404"/>
      <c r="D18" s="366"/>
      <c r="E18" s="406"/>
      <c r="F18" s="366"/>
      <c r="G18" s="405"/>
      <c r="H18" s="358"/>
      <c r="I18" s="358"/>
      <c r="J18" s="358"/>
      <c r="K18" s="358"/>
      <c r="L18" s="358"/>
      <c r="M18" s="358"/>
    </row>
    <row r="19" spans="1:13" s="43" customFormat="1" ht="15" customHeight="1" x14ac:dyDescent="0.2">
      <c r="A19" s="373" t="s">
        <v>80</v>
      </c>
      <c r="B19" s="352" t="s">
        <v>81</v>
      </c>
      <c r="C19" s="406">
        <v>4194100</v>
      </c>
      <c r="D19" s="369">
        <v>2374800</v>
      </c>
      <c r="E19" s="406">
        <f>F19-D19</f>
        <v>3125200</v>
      </c>
      <c r="F19" s="369">
        <v>5500000</v>
      </c>
      <c r="G19" s="408">
        <v>5918000</v>
      </c>
      <c r="H19" s="358"/>
      <c r="I19" s="358"/>
      <c r="J19" s="358"/>
      <c r="K19" s="358"/>
      <c r="L19" s="358"/>
      <c r="M19" s="358"/>
    </row>
    <row r="20" spans="1:13" s="43" customFormat="1" ht="15" customHeight="1" x14ac:dyDescent="0.2">
      <c r="A20" s="403" t="s">
        <v>42</v>
      </c>
      <c r="B20" s="365"/>
      <c r="C20" s="404"/>
      <c r="D20" s="366"/>
      <c r="E20" s="404"/>
      <c r="F20" s="366"/>
      <c r="G20" s="432"/>
      <c r="H20" s="358"/>
      <c r="I20" s="358"/>
      <c r="J20" s="358"/>
      <c r="K20" s="358"/>
      <c r="L20" s="358"/>
      <c r="M20" s="358"/>
    </row>
    <row r="21" spans="1:13" s="43" customFormat="1" ht="15" customHeight="1" x14ac:dyDescent="0.2">
      <c r="A21" s="373" t="s">
        <v>42</v>
      </c>
      <c r="B21" s="433" t="s">
        <v>176</v>
      </c>
      <c r="C21" s="406"/>
      <c r="D21" s="369"/>
      <c r="E21" s="406">
        <f>F21-D21</f>
        <v>50000</v>
      </c>
      <c r="F21" s="369">
        <v>50000</v>
      </c>
      <c r="G21" s="369">
        <v>20000</v>
      </c>
      <c r="H21" s="358"/>
      <c r="I21" s="358"/>
      <c r="J21" s="358"/>
      <c r="K21" s="358"/>
      <c r="L21" s="358"/>
      <c r="M21" s="358"/>
    </row>
    <row r="22" spans="1:13" s="43" customFormat="1" ht="30" customHeight="1" x14ac:dyDescent="0.2">
      <c r="A22" s="396" t="s">
        <v>86</v>
      </c>
      <c r="B22" s="397"/>
      <c r="C22" s="398">
        <f>SUM(C12:C21)</f>
        <v>4259243</v>
      </c>
      <c r="D22" s="398">
        <f>SUM(D12:D21)</f>
        <v>2398217</v>
      </c>
      <c r="E22" s="398">
        <f>SUM(E12:E21)</f>
        <v>3220783</v>
      </c>
      <c r="F22" s="398">
        <f>SUM(F12:F21)</f>
        <v>5619000</v>
      </c>
      <c r="G22" s="398">
        <f>SUM(G12:G21)</f>
        <v>6021000</v>
      </c>
      <c r="H22" s="781">
        <v>5589000</v>
      </c>
      <c r="I22" s="435"/>
      <c r="J22" s="358"/>
      <c r="K22" s="358"/>
      <c r="L22" s="358"/>
      <c r="M22" s="358"/>
    </row>
    <row r="23" spans="1:13" s="43" customFormat="1" ht="15" customHeight="1" x14ac:dyDescent="0.2">
      <c r="A23" s="429" t="s">
        <v>88</v>
      </c>
      <c r="B23" s="362"/>
      <c r="C23" s="430"/>
      <c r="D23" s="363"/>
      <c r="E23" s="430"/>
      <c r="F23" s="363"/>
      <c r="G23" s="431"/>
      <c r="H23" s="358"/>
      <c r="I23" s="358"/>
      <c r="J23" s="358"/>
      <c r="K23" s="358"/>
      <c r="L23" s="358"/>
      <c r="M23" s="358"/>
    </row>
    <row r="24" spans="1:13" s="43" customFormat="1" ht="15" customHeight="1" x14ac:dyDescent="0.2">
      <c r="A24" s="396" t="s">
        <v>112</v>
      </c>
      <c r="B24" s="436"/>
      <c r="C24" s="398">
        <f>SUM(C23:C23)</f>
        <v>0</v>
      </c>
      <c r="D24" s="398">
        <f>SUM(D23:D23)</f>
        <v>0</v>
      </c>
      <c r="E24" s="398">
        <f>SUM(E23:E23)</f>
        <v>0</v>
      </c>
      <c r="F24" s="398">
        <f>SUM(F23:F23)</f>
        <v>0</v>
      </c>
      <c r="G24" s="779">
        <f>SUM(G23:G23)</f>
        <v>0</v>
      </c>
      <c r="H24" s="435"/>
      <c r="I24" s="358"/>
      <c r="J24" s="358"/>
      <c r="K24" s="358"/>
      <c r="L24" s="358"/>
      <c r="M24" s="358"/>
    </row>
    <row r="25" spans="1:13" s="43" customFormat="1" ht="15" customHeight="1" x14ac:dyDescent="0.2">
      <c r="A25" s="419" t="s">
        <v>113</v>
      </c>
      <c r="B25" s="437"/>
      <c r="C25" s="421">
        <f>C22+C24</f>
        <v>4259243</v>
      </c>
      <c r="D25" s="421">
        <f>D22+D24</f>
        <v>2398217</v>
      </c>
      <c r="E25" s="421">
        <f>E22+E24</f>
        <v>3220783</v>
      </c>
      <c r="F25" s="421">
        <f>F22+F24</f>
        <v>5619000</v>
      </c>
      <c r="G25" s="421">
        <f>G22+G24</f>
        <v>6021000</v>
      </c>
      <c r="H25" s="358"/>
      <c r="I25" s="358"/>
      <c r="J25" s="358"/>
      <c r="K25" s="358"/>
      <c r="L25" s="358"/>
      <c r="M25" s="358"/>
    </row>
    <row r="26" spans="1:13" x14ac:dyDescent="0.25">
      <c r="A26" s="16"/>
      <c r="B26" s="16"/>
      <c r="C26" s="16"/>
      <c r="D26" s="16"/>
      <c r="E26" s="16"/>
      <c r="F26" s="16"/>
      <c r="G26" s="16"/>
      <c r="H26" s="16"/>
      <c r="I26" s="16"/>
      <c r="J26" s="16"/>
      <c r="K26" s="16"/>
      <c r="L26" s="16"/>
      <c r="M26" s="16"/>
    </row>
    <row r="27" spans="1:13" x14ac:dyDescent="0.25">
      <c r="A27" s="16"/>
      <c r="B27" s="16"/>
      <c r="C27" s="16"/>
      <c r="D27" s="16"/>
      <c r="E27" s="16"/>
      <c r="F27" s="16"/>
      <c r="G27" s="16"/>
      <c r="H27" s="16"/>
      <c r="I27" s="16"/>
      <c r="J27" s="16"/>
      <c r="K27" s="16"/>
      <c r="L27" s="16"/>
      <c r="M27" s="16"/>
    </row>
    <row r="28" spans="1:13" x14ac:dyDescent="0.25">
      <c r="A28" s="16"/>
      <c r="B28" s="16"/>
      <c r="C28" s="16"/>
      <c r="D28" s="16"/>
      <c r="E28" s="16"/>
      <c r="F28" s="16"/>
      <c r="G28" s="16"/>
      <c r="H28" s="16"/>
      <c r="I28" s="16"/>
      <c r="J28" s="16"/>
      <c r="K28" s="16"/>
      <c r="L28" s="16"/>
      <c r="M28" s="16"/>
    </row>
    <row r="29" spans="1:13" x14ac:dyDescent="0.25">
      <c r="A29" s="16"/>
      <c r="B29" s="16"/>
      <c r="C29" s="16"/>
      <c r="D29" s="16"/>
      <c r="E29" s="16"/>
      <c r="F29" s="16"/>
      <c r="G29" s="16"/>
      <c r="H29" s="16"/>
      <c r="I29" s="16"/>
      <c r="J29" s="16"/>
      <c r="K29" s="16"/>
      <c r="L29" s="16"/>
      <c r="M29" s="16"/>
    </row>
    <row r="30" spans="1:13" x14ac:dyDescent="0.25">
      <c r="A30" s="16"/>
      <c r="B30" s="16"/>
      <c r="C30" s="16"/>
      <c r="D30" s="16"/>
      <c r="E30" s="16"/>
      <c r="F30" s="16"/>
      <c r="G30" s="16"/>
      <c r="H30" s="16"/>
      <c r="I30" s="16"/>
      <c r="J30" s="16"/>
      <c r="K30" s="16"/>
      <c r="L30" s="16"/>
      <c r="M30" s="16"/>
    </row>
    <row r="31" spans="1:13" x14ac:dyDescent="0.25">
      <c r="A31" s="16"/>
      <c r="B31" s="16"/>
      <c r="C31" s="16"/>
      <c r="D31" s="16"/>
      <c r="E31" s="16"/>
      <c r="F31" s="16"/>
      <c r="G31" s="16"/>
      <c r="H31" s="16"/>
      <c r="I31" s="16"/>
      <c r="J31" s="16"/>
      <c r="K31" s="16"/>
      <c r="L31" s="16"/>
      <c r="M31" s="16"/>
    </row>
    <row r="32" spans="1:13" x14ac:dyDescent="0.25">
      <c r="A32" s="16"/>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6"/>
      <c r="B34" s="16"/>
      <c r="C34" s="16"/>
      <c r="D34" s="16"/>
      <c r="E34" s="16"/>
      <c r="F34" s="16"/>
      <c r="G34" s="16"/>
      <c r="H34" s="16"/>
      <c r="I34" s="16"/>
      <c r="J34" s="16"/>
      <c r="K34" s="16"/>
      <c r="L34" s="16"/>
      <c r="M34" s="16"/>
    </row>
    <row r="35" spans="1:13" x14ac:dyDescent="0.25">
      <c r="A35" s="16"/>
      <c r="B35" s="16"/>
      <c r="C35" s="16"/>
      <c r="D35" s="16"/>
      <c r="E35" s="16"/>
      <c r="F35" s="16"/>
      <c r="G35" s="16"/>
      <c r="H35" s="16"/>
      <c r="I35" s="16"/>
      <c r="J35" s="16"/>
      <c r="K35" s="16"/>
      <c r="L35" s="16"/>
      <c r="M35" s="16"/>
    </row>
    <row r="36" spans="1:13" x14ac:dyDescent="0.25">
      <c r="A36" s="16"/>
      <c r="B36" s="16"/>
      <c r="C36" s="16"/>
      <c r="D36" s="16"/>
      <c r="E36" s="16"/>
      <c r="F36" s="16"/>
      <c r="G36" s="16"/>
      <c r="H36" s="16"/>
      <c r="I36" s="16"/>
      <c r="J36" s="16"/>
      <c r="K36" s="16"/>
      <c r="L36" s="16"/>
      <c r="M36" s="16"/>
    </row>
    <row r="37" spans="1:13" x14ac:dyDescent="0.25">
      <c r="A37" s="16"/>
      <c r="B37" s="16"/>
      <c r="C37" s="16"/>
      <c r="D37" s="16"/>
      <c r="E37" s="16"/>
      <c r="F37" s="16"/>
      <c r="G37" s="16"/>
      <c r="H37" s="16"/>
      <c r="I37" s="16"/>
      <c r="J37" s="16"/>
      <c r="K37" s="16"/>
      <c r="L37" s="16"/>
      <c r="M37" s="16"/>
    </row>
    <row r="38" spans="1:13" x14ac:dyDescent="0.25">
      <c r="A38" s="16"/>
      <c r="B38" s="16"/>
      <c r="C38" s="16"/>
      <c r="D38" s="16"/>
      <c r="E38" s="16"/>
      <c r="F38" s="16"/>
      <c r="G38" s="16"/>
      <c r="H38" s="16"/>
      <c r="I38" s="16"/>
      <c r="J38" s="16"/>
      <c r="K38" s="16"/>
      <c r="L38" s="16"/>
      <c r="M38" s="16"/>
    </row>
    <row r="39" spans="1:13" x14ac:dyDescent="0.25">
      <c r="A39" s="16"/>
      <c r="B39" s="16"/>
      <c r="C39" s="16"/>
      <c r="D39" s="16"/>
      <c r="E39" s="16"/>
      <c r="F39" s="16"/>
      <c r="G39" s="16"/>
      <c r="H39" s="16"/>
      <c r="I39" s="16"/>
      <c r="J39" s="16"/>
      <c r="K39" s="16"/>
      <c r="L39" s="16"/>
      <c r="M39" s="16"/>
    </row>
    <row r="40" spans="1:13" x14ac:dyDescent="0.25">
      <c r="A40" s="16"/>
      <c r="B40" s="16"/>
      <c r="C40" s="16"/>
      <c r="D40" s="16"/>
      <c r="E40" s="16"/>
      <c r="F40" s="16"/>
      <c r="G40" s="16"/>
      <c r="H40" s="16"/>
      <c r="I40" s="16"/>
      <c r="J40" s="16"/>
      <c r="K40" s="16"/>
      <c r="L40" s="16"/>
      <c r="M40" s="16"/>
    </row>
    <row r="41" spans="1:13" x14ac:dyDescent="0.25">
      <c r="A41" s="16"/>
      <c r="B41" s="16"/>
      <c r="C41" s="16"/>
      <c r="D41" s="16"/>
      <c r="E41" s="16"/>
      <c r="F41" s="16"/>
      <c r="G41" s="16"/>
      <c r="H41" s="16"/>
      <c r="I41" s="16"/>
      <c r="J41" s="16"/>
      <c r="K41" s="16"/>
      <c r="L41" s="16"/>
      <c r="M41" s="16"/>
    </row>
    <row r="42" spans="1:13" x14ac:dyDescent="0.25">
      <c r="A42" s="16"/>
      <c r="B42" s="16"/>
      <c r="C42" s="16"/>
      <c r="D42" s="16"/>
      <c r="E42" s="16"/>
      <c r="F42" s="16"/>
      <c r="G42" s="16"/>
      <c r="H42" s="16"/>
      <c r="I42" s="16"/>
      <c r="J42" s="16"/>
      <c r="K42" s="16"/>
      <c r="L42" s="16"/>
      <c r="M42" s="16"/>
    </row>
    <row r="43" spans="1:13" x14ac:dyDescent="0.25">
      <c r="A43" s="16"/>
      <c r="B43" s="16"/>
      <c r="C43" s="16"/>
      <c r="D43" s="16"/>
      <c r="E43" s="16"/>
      <c r="F43" s="16"/>
      <c r="G43" s="16"/>
      <c r="H43" s="16"/>
      <c r="I43" s="16"/>
      <c r="J43" s="16"/>
      <c r="K43" s="16"/>
      <c r="L43" s="16"/>
      <c r="M43" s="16"/>
    </row>
    <row r="44" spans="1:13" x14ac:dyDescent="0.25">
      <c r="A44" s="16"/>
      <c r="B44" s="16"/>
      <c r="C44" s="16"/>
      <c r="D44" s="16"/>
      <c r="E44" s="16"/>
      <c r="F44" s="16"/>
      <c r="G44" s="16"/>
      <c r="H44" s="16"/>
      <c r="I44" s="16"/>
      <c r="J44" s="16"/>
      <c r="K44" s="16"/>
      <c r="L44" s="16"/>
      <c r="M44" s="16"/>
    </row>
    <row r="45" spans="1:13" x14ac:dyDescent="0.25">
      <c r="A45" s="16"/>
      <c r="B45" s="16"/>
      <c r="C45" s="16"/>
      <c r="D45" s="16"/>
      <c r="E45" s="16"/>
      <c r="F45" s="16"/>
      <c r="G45" s="16"/>
      <c r="H45" s="16"/>
      <c r="I45" s="16"/>
      <c r="J45" s="16"/>
      <c r="K45" s="16"/>
      <c r="L45" s="16"/>
      <c r="M45" s="16"/>
    </row>
    <row r="46" spans="1:13" x14ac:dyDescent="0.25">
      <c r="A46" s="16"/>
      <c r="B46" s="16"/>
      <c r="C46" s="16"/>
      <c r="D46" s="16"/>
      <c r="E46" s="16"/>
      <c r="F46" s="16"/>
      <c r="G46" s="16"/>
      <c r="H46" s="16"/>
      <c r="I46" s="16"/>
      <c r="J46" s="16"/>
      <c r="K46" s="16"/>
      <c r="L46" s="16"/>
      <c r="M46" s="16"/>
    </row>
    <row r="47" spans="1:13" x14ac:dyDescent="0.25">
      <c r="A47" s="16"/>
      <c r="B47" s="16"/>
      <c r="C47" s="16"/>
      <c r="D47" s="16"/>
      <c r="E47" s="16"/>
      <c r="F47" s="16"/>
      <c r="G47" s="16"/>
      <c r="H47" s="16"/>
      <c r="I47" s="16"/>
      <c r="J47" s="16"/>
      <c r="K47" s="16"/>
      <c r="L47" s="16"/>
      <c r="M47" s="16"/>
    </row>
    <row r="48" spans="1:13" x14ac:dyDescent="0.25">
      <c r="A48" s="16"/>
      <c r="B48" s="16"/>
      <c r="C48" s="16"/>
      <c r="D48" s="16"/>
      <c r="E48" s="16"/>
      <c r="F48" s="16"/>
      <c r="G48" s="16"/>
      <c r="H48" s="16"/>
      <c r="I48" s="16"/>
      <c r="J48" s="16"/>
      <c r="K48" s="16"/>
      <c r="L48" s="16"/>
      <c r="M48" s="16"/>
    </row>
    <row r="49" spans="1:13" x14ac:dyDescent="0.25">
      <c r="A49" s="16"/>
      <c r="B49" s="16"/>
      <c r="C49" s="16"/>
      <c r="D49" s="16"/>
      <c r="E49" s="16"/>
      <c r="F49" s="16"/>
      <c r="G49" s="16"/>
      <c r="H49" s="16"/>
      <c r="I49" s="16"/>
      <c r="J49" s="16"/>
      <c r="K49" s="16"/>
      <c r="L49" s="16"/>
      <c r="M49" s="16"/>
    </row>
    <row r="50" spans="1:13" x14ac:dyDescent="0.25">
      <c r="A50" s="16"/>
      <c r="B50" s="16"/>
      <c r="C50" s="16"/>
      <c r="D50" s="16"/>
      <c r="E50" s="16"/>
      <c r="F50" s="16"/>
      <c r="G50" s="16"/>
      <c r="H50" s="16"/>
      <c r="I50" s="16"/>
      <c r="J50" s="16"/>
      <c r="K50" s="16"/>
      <c r="L50" s="16"/>
      <c r="M50" s="16"/>
    </row>
    <row r="51" spans="1:13" x14ac:dyDescent="0.25">
      <c r="A51" s="16"/>
      <c r="B51" s="16"/>
      <c r="C51" s="16"/>
      <c r="D51" s="16"/>
      <c r="E51" s="16"/>
      <c r="F51" s="16"/>
      <c r="G51" s="16"/>
      <c r="H51" s="16"/>
      <c r="I51" s="16"/>
      <c r="J51" s="16"/>
      <c r="K51" s="16"/>
      <c r="L51" s="16"/>
      <c r="M51" s="16"/>
    </row>
    <row r="52" spans="1:13" x14ac:dyDescent="0.25">
      <c r="A52" s="16"/>
      <c r="B52" s="16"/>
      <c r="C52" s="16"/>
      <c r="D52" s="16"/>
      <c r="E52" s="16"/>
      <c r="F52" s="16"/>
      <c r="G52" s="16"/>
      <c r="H52" s="16"/>
      <c r="I52" s="16"/>
      <c r="J52" s="16"/>
      <c r="K52" s="16"/>
      <c r="L52" s="16"/>
      <c r="M52" s="16"/>
    </row>
    <row r="53" spans="1:13" x14ac:dyDescent="0.25">
      <c r="A53" s="16"/>
      <c r="B53" s="16"/>
      <c r="C53" s="16"/>
      <c r="D53" s="16"/>
      <c r="E53" s="16"/>
      <c r="F53" s="16"/>
      <c r="G53" s="16"/>
      <c r="H53" s="16"/>
      <c r="I53" s="16"/>
      <c r="J53" s="16"/>
      <c r="K53" s="16"/>
      <c r="L53" s="16"/>
      <c r="M53" s="16"/>
    </row>
    <row r="54" spans="1:13" x14ac:dyDescent="0.25">
      <c r="A54" s="16"/>
      <c r="B54" s="16"/>
      <c r="C54" s="16"/>
      <c r="D54" s="16"/>
      <c r="E54" s="16"/>
      <c r="F54" s="16"/>
      <c r="G54" s="16"/>
      <c r="H54" s="16"/>
      <c r="I54" s="16"/>
      <c r="J54" s="16"/>
      <c r="K54" s="16"/>
      <c r="L54" s="16"/>
      <c r="M54" s="16"/>
    </row>
    <row r="55" spans="1:13" x14ac:dyDescent="0.25">
      <c r="A55" s="16"/>
      <c r="B55" s="16"/>
      <c r="C55" s="16"/>
      <c r="D55" s="16"/>
      <c r="E55" s="16"/>
      <c r="F55" s="16"/>
      <c r="G55" s="16"/>
      <c r="H55" s="16"/>
      <c r="I55" s="16"/>
      <c r="J55" s="16"/>
      <c r="K55" s="16"/>
      <c r="L55" s="16"/>
      <c r="M55" s="16"/>
    </row>
    <row r="56" spans="1:13" x14ac:dyDescent="0.25">
      <c r="A56" s="16"/>
      <c r="B56" s="16"/>
      <c r="C56" s="16"/>
      <c r="D56" s="16"/>
      <c r="E56" s="16"/>
      <c r="F56" s="16"/>
      <c r="G56" s="16"/>
      <c r="H56" s="16"/>
      <c r="I56" s="16"/>
      <c r="J56" s="16"/>
      <c r="K56" s="16"/>
      <c r="L56" s="16"/>
      <c r="M56" s="16"/>
    </row>
    <row r="57" spans="1:13" x14ac:dyDescent="0.25">
      <c r="A57" s="16"/>
      <c r="B57" s="16"/>
      <c r="C57" s="16">
        <v>322824.65999999997</v>
      </c>
      <c r="D57" s="16"/>
      <c r="E57" s="16"/>
      <c r="F57" s="16"/>
      <c r="G57" s="16"/>
      <c r="H57" s="16"/>
      <c r="I57" s="16"/>
      <c r="J57" s="16"/>
      <c r="K57" s="16"/>
      <c r="L57" s="16"/>
      <c r="M57" s="16"/>
    </row>
    <row r="58" spans="1:13" x14ac:dyDescent="0.25">
      <c r="A58" s="16"/>
      <c r="B58" s="16"/>
      <c r="C58" s="16"/>
      <c r="D58" s="16"/>
      <c r="E58" s="16"/>
      <c r="F58" s="16"/>
      <c r="G58" s="16"/>
      <c r="H58" s="16"/>
      <c r="I58" s="16"/>
      <c r="J58" s="16"/>
      <c r="K58" s="16"/>
      <c r="L58" s="16"/>
      <c r="M58" s="16"/>
    </row>
    <row r="59" spans="1:13" x14ac:dyDescent="0.25">
      <c r="A59" s="16"/>
      <c r="B59" s="16"/>
      <c r="C59" s="16"/>
      <c r="D59" s="16"/>
      <c r="E59" s="16"/>
      <c r="F59" s="16"/>
      <c r="G59" s="16"/>
      <c r="H59" s="16"/>
      <c r="I59" s="16"/>
      <c r="J59" s="16"/>
      <c r="K59" s="16"/>
      <c r="L59" s="16"/>
      <c r="M59" s="16"/>
    </row>
    <row r="60" spans="1:13" x14ac:dyDescent="0.25">
      <c r="A60" s="16"/>
      <c r="B60" s="16"/>
      <c r="C60" s="16"/>
      <c r="D60" s="16"/>
      <c r="E60" s="16"/>
      <c r="F60" s="16"/>
      <c r="G60" s="16"/>
      <c r="H60" s="16"/>
      <c r="I60" s="16"/>
      <c r="J60" s="16"/>
      <c r="K60" s="16"/>
      <c r="L60" s="16"/>
      <c r="M60" s="16"/>
    </row>
    <row r="61" spans="1:13" x14ac:dyDescent="0.25">
      <c r="A61" s="16"/>
      <c r="B61" s="16"/>
      <c r="C61" s="16"/>
      <c r="D61" s="16"/>
      <c r="E61" s="16"/>
      <c r="F61" s="16"/>
      <c r="G61" s="16"/>
      <c r="H61" s="16"/>
      <c r="I61" s="16"/>
      <c r="J61" s="16"/>
      <c r="K61" s="16"/>
      <c r="L61" s="16"/>
      <c r="M61" s="16"/>
    </row>
    <row r="62" spans="1:13" x14ac:dyDescent="0.25">
      <c r="A62" s="16"/>
      <c r="B62" s="16"/>
      <c r="C62" s="16"/>
      <c r="D62" s="16"/>
      <c r="E62" s="16"/>
      <c r="F62" s="16"/>
      <c r="G62" s="16"/>
      <c r="H62" s="16"/>
      <c r="I62" s="16"/>
      <c r="J62" s="16"/>
      <c r="K62" s="16"/>
      <c r="L62" s="16"/>
      <c r="M62" s="16"/>
    </row>
    <row r="63" spans="1:13" x14ac:dyDescent="0.25">
      <c r="A63" s="16"/>
      <c r="B63" s="16"/>
      <c r="C63" s="16"/>
      <c r="D63" s="16"/>
      <c r="E63" s="16"/>
      <c r="F63" s="16"/>
      <c r="G63" s="16"/>
      <c r="H63" s="16"/>
      <c r="I63" s="16"/>
      <c r="J63" s="16"/>
      <c r="K63" s="16"/>
      <c r="L63" s="16"/>
      <c r="M63" s="16"/>
    </row>
    <row r="64" spans="1:13" x14ac:dyDescent="0.25">
      <c r="A64" s="16"/>
      <c r="B64" s="16"/>
      <c r="C64" s="16"/>
      <c r="D64" s="16"/>
      <c r="E64" s="16"/>
      <c r="F64" s="16"/>
      <c r="G64" s="16"/>
      <c r="H64" s="16"/>
      <c r="I64" s="16"/>
      <c r="J64" s="16"/>
      <c r="K64" s="16"/>
      <c r="L64" s="16"/>
      <c r="M64" s="16"/>
    </row>
    <row r="65" spans="1:13" x14ac:dyDescent="0.25">
      <c r="A65" s="16"/>
      <c r="B65" s="16"/>
      <c r="C65" s="16"/>
      <c r="D65" s="16"/>
      <c r="E65" s="16"/>
      <c r="F65" s="16"/>
      <c r="G65" s="16"/>
      <c r="H65" s="16"/>
      <c r="I65" s="16"/>
      <c r="J65" s="16"/>
      <c r="K65" s="16"/>
      <c r="L65" s="16"/>
      <c r="M65" s="16"/>
    </row>
    <row r="66" spans="1:13" x14ac:dyDescent="0.25">
      <c r="A66" s="16"/>
      <c r="B66" s="16"/>
      <c r="C66" s="16"/>
      <c r="D66" s="16"/>
      <c r="E66" s="16"/>
      <c r="F66" s="16"/>
      <c r="G66" s="16"/>
      <c r="H66" s="16"/>
      <c r="I66" s="16"/>
      <c r="J66" s="16"/>
      <c r="K66" s="16"/>
      <c r="L66" s="16"/>
      <c r="M66" s="16"/>
    </row>
    <row r="67" spans="1:13" x14ac:dyDescent="0.25">
      <c r="A67" s="16"/>
      <c r="B67" s="16"/>
      <c r="C67" s="16"/>
      <c r="D67" s="16"/>
      <c r="E67" s="16"/>
      <c r="F67" s="16"/>
      <c r="G67" s="16"/>
      <c r="H67" s="16"/>
      <c r="I67" s="16"/>
      <c r="J67" s="16"/>
      <c r="K67" s="16"/>
      <c r="L67" s="16"/>
      <c r="M67" s="16"/>
    </row>
    <row r="68" spans="1:13" x14ac:dyDescent="0.25">
      <c r="A68" s="16"/>
      <c r="B68" s="16"/>
      <c r="C68" s="16"/>
      <c r="D68" s="16"/>
      <c r="E68" s="16"/>
      <c r="F68" s="16"/>
      <c r="G68" s="16"/>
      <c r="H68" s="16"/>
      <c r="I68" s="16"/>
      <c r="J68" s="16"/>
      <c r="K68" s="16"/>
      <c r="L68" s="16"/>
      <c r="M68" s="16"/>
    </row>
    <row r="69" spans="1:13" x14ac:dyDescent="0.25">
      <c r="A69" s="16"/>
      <c r="B69" s="16"/>
      <c r="C69" s="16"/>
      <c r="D69" s="16"/>
      <c r="E69" s="16"/>
      <c r="F69" s="16"/>
      <c r="G69" s="16"/>
      <c r="H69" s="16"/>
      <c r="I69" s="16"/>
      <c r="J69" s="16"/>
      <c r="K69" s="16"/>
      <c r="L69" s="16"/>
      <c r="M69" s="16"/>
    </row>
    <row r="70" spans="1:13" x14ac:dyDescent="0.25">
      <c r="A70" s="16"/>
      <c r="B70" s="16"/>
      <c r="C70" s="16"/>
      <c r="D70" s="16"/>
      <c r="E70" s="16"/>
      <c r="F70" s="16"/>
      <c r="G70" s="16"/>
      <c r="H70" s="16"/>
      <c r="I70" s="16"/>
      <c r="J70" s="16"/>
      <c r="K70" s="16"/>
      <c r="L70" s="16"/>
      <c r="M70" s="16"/>
    </row>
    <row r="71" spans="1:13" x14ac:dyDescent="0.25">
      <c r="A71" s="16"/>
      <c r="B71" s="16"/>
      <c r="C71" s="16"/>
      <c r="D71" s="16"/>
      <c r="E71" s="16"/>
      <c r="F71" s="16"/>
      <c r="G71" s="16"/>
      <c r="H71" s="16"/>
      <c r="I71" s="16"/>
      <c r="J71" s="16"/>
      <c r="K71" s="16"/>
      <c r="L71" s="16"/>
      <c r="M71" s="16"/>
    </row>
    <row r="72" spans="1:13" x14ac:dyDescent="0.25">
      <c r="A72" s="16"/>
      <c r="B72" s="16"/>
      <c r="C72" s="16"/>
      <c r="D72" s="16"/>
      <c r="E72" s="16"/>
      <c r="F72" s="16"/>
      <c r="G72" s="16"/>
      <c r="H72" s="16"/>
      <c r="I72" s="16"/>
      <c r="J72" s="16"/>
      <c r="K72" s="16"/>
      <c r="L72" s="16"/>
      <c r="M72" s="16"/>
    </row>
    <row r="73" spans="1:13" x14ac:dyDescent="0.25">
      <c r="A73" s="16"/>
      <c r="B73" s="16"/>
      <c r="C73" s="16"/>
      <c r="D73" s="16"/>
      <c r="E73" s="16"/>
      <c r="F73" s="16"/>
      <c r="G73" s="16"/>
      <c r="H73" s="16"/>
      <c r="I73" s="16"/>
      <c r="J73" s="16"/>
      <c r="K73" s="16"/>
      <c r="L73" s="16"/>
      <c r="M73" s="16"/>
    </row>
    <row r="74" spans="1:13" x14ac:dyDescent="0.25">
      <c r="A74" s="16"/>
      <c r="B74" s="16"/>
      <c r="C74" s="16"/>
      <c r="D74" s="16"/>
      <c r="E74" s="16"/>
      <c r="F74" s="16"/>
      <c r="G74" s="16"/>
      <c r="H74" s="16"/>
      <c r="I74" s="16"/>
      <c r="J74" s="16"/>
      <c r="K74" s="16"/>
      <c r="L74" s="16"/>
      <c r="M74" s="16"/>
    </row>
    <row r="75" spans="1:13" x14ac:dyDescent="0.25">
      <c r="A75" s="16"/>
      <c r="B75" s="16"/>
      <c r="C75" s="16"/>
      <c r="D75" s="16"/>
      <c r="E75" s="16"/>
      <c r="F75" s="16"/>
      <c r="G75" s="16"/>
      <c r="H75" s="16"/>
      <c r="I75" s="16"/>
      <c r="J75" s="16"/>
      <c r="K75" s="16"/>
      <c r="L75" s="16"/>
      <c r="M75" s="16"/>
    </row>
    <row r="76" spans="1:13" x14ac:dyDescent="0.25">
      <c r="A76" s="16"/>
      <c r="B76" s="16"/>
      <c r="C76" s="16"/>
      <c r="D76" s="16"/>
      <c r="E76" s="16"/>
      <c r="F76" s="16"/>
      <c r="G76" s="16"/>
      <c r="H76" s="16"/>
      <c r="I76" s="16"/>
      <c r="J76" s="16"/>
      <c r="K76" s="16"/>
      <c r="L76" s="16"/>
      <c r="M76" s="16"/>
    </row>
    <row r="77" spans="1:13" x14ac:dyDescent="0.25">
      <c r="A77" s="16"/>
      <c r="B77" s="16"/>
      <c r="C77" s="16"/>
      <c r="D77" s="16"/>
      <c r="E77" s="16"/>
      <c r="F77" s="16"/>
      <c r="G77" s="16"/>
      <c r="H77" s="16"/>
      <c r="I77" s="16"/>
      <c r="J77" s="16"/>
      <c r="K77" s="16"/>
      <c r="L77" s="16"/>
      <c r="M77" s="16"/>
    </row>
    <row r="78" spans="1:13" x14ac:dyDescent="0.25">
      <c r="A78" s="16"/>
      <c r="B78" s="16"/>
      <c r="C78" s="16"/>
      <c r="D78" s="16"/>
      <c r="E78" s="16"/>
      <c r="F78" s="16"/>
      <c r="G78" s="16"/>
      <c r="H78" s="16"/>
      <c r="I78" s="16"/>
      <c r="J78" s="16"/>
      <c r="K78" s="16"/>
      <c r="L78" s="16"/>
      <c r="M78" s="16"/>
    </row>
    <row r="79" spans="1:13" x14ac:dyDescent="0.25">
      <c r="A79" s="16"/>
      <c r="B79" s="16"/>
      <c r="C79" s="16"/>
      <c r="D79" s="16"/>
      <c r="E79" s="16"/>
      <c r="F79" s="16"/>
      <c r="G79" s="16"/>
      <c r="H79" s="16"/>
      <c r="I79" s="16"/>
      <c r="J79" s="16"/>
      <c r="K79" s="16"/>
      <c r="L79" s="16"/>
      <c r="M79" s="16"/>
    </row>
    <row r="80" spans="1:13" x14ac:dyDescent="0.25">
      <c r="A80" s="16"/>
      <c r="B80" s="16"/>
      <c r="C80" s="16"/>
      <c r="D80" s="16"/>
      <c r="E80" s="16"/>
      <c r="F80" s="16"/>
      <c r="G80" s="16"/>
      <c r="H80" s="16"/>
      <c r="I80" s="16"/>
      <c r="J80" s="16"/>
      <c r="K80" s="16"/>
      <c r="L80" s="16"/>
      <c r="M80" s="16"/>
    </row>
    <row r="81" spans="1:13" x14ac:dyDescent="0.25">
      <c r="A81" s="16"/>
      <c r="B81" s="16"/>
      <c r="C81" s="16"/>
      <c r="D81" s="16"/>
      <c r="E81" s="16"/>
      <c r="F81" s="16"/>
      <c r="G81" s="16"/>
      <c r="H81" s="16"/>
      <c r="I81" s="16"/>
      <c r="J81" s="16"/>
      <c r="K81" s="16"/>
      <c r="L81" s="16"/>
      <c r="M81" s="16"/>
    </row>
    <row r="82" spans="1:13" x14ac:dyDescent="0.25">
      <c r="A82" s="16"/>
      <c r="B82" s="16"/>
      <c r="C82" s="16"/>
      <c r="D82" s="16"/>
      <c r="E82" s="16"/>
      <c r="F82" s="16"/>
      <c r="G82" s="16"/>
      <c r="H82" s="16"/>
      <c r="I82" s="16"/>
      <c r="J82" s="16"/>
      <c r="K82" s="16"/>
      <c r="L82" s="16"/>
      <c r="M82" s="16"/>
    </row>
    <row r="83" spans="1:13" x14ac:dyDescent="0.25">
      <c r="A83" s="16"/>
      <c r="B83" s="16"/>
      <c r="C83" s="16"/>
      <c r="D83" s="16"/>
      <c r="E83" s="16"/>
      <c r="F83" s="16"/>
      <c r="G83" s="16"/>
      <c r="H83" s="16"/>
      <c r="I83" s="16"/>
      <c r="J83" s="16"/>
      <c r="K83" s="16"/>
      <c r="L83" s="16"/>
      <c r="M83" s="16"/>
    </row>
    <row r="84" spans="1:13" x14ac:dyDescent="0.25">
      <c r="A84" s="16"/>
      <c r="B84" s="16"/>
      <c r="C84" s="16"/>
      <c r="D84" s="16"/>
      <c r="E84" s="16"/>
      <c r="F84" s="16"/>
      <c r="G84" s="16"/>
      <c r="H84" s="16"/>
      <c r="I84" s="16"/>
      <c r="J84" s="16"/>
      <c r="K84" s="16"/>
      <c r="L84" s="16"/>
      <c r="M84" s="16"/>
    </row>
    <row r="85" spans="1:13" x14ac:dyDescent="0.25">
      <c r="A85" s="16"/>
      <c r="B85" s="16"/>
      <c r="C85" s="16"/>
      <c r="D85" s="16"/>
      <c r="E85" s="16"/>
      <c r="F85" s="16"/>
      <c r="G85" s="16"/>
      <c r="H85" s="16"/>
      <c r="I85" s="16"/>
      <c r="J85" s="16"/>
      <c r="K85" s="16"/>
      <c r="L85" s="16"/>
      <c r="M85" s="16"/>
    </row>
    <row r="86" spans="1:13" ht="38.25" customHeight="1" x14ac:dyDescent="0.25">
      <c r="A86" s="16"/>
      <c r="B86" s="16"/>
      <c r="C86" s="16"/>
      <c r="D86" s="16"/>
      <c r="E86" s="16"/>
      <c r="F86" s="16"/>
      <c r="G86" s="16"/>
      <c r="H86" s="16"/>
      <c r="I86" s="16"/>
      <c r="J86" s="16"/>
      <c r="K86" s="16"/>
      <c r="L86" s="16"/>
      <c r="M86" s="16"/>
    </row>
    <row r="87" spans="1:13" x14ac:dyDescent="0.25">
      <c r="A87" s="16"/>
      <c r="B87" s="16"/>
      <c r="C87" s="16"/>
      <c r="D87" s="16"/>
      <c r="E87" s="16"/>
      <c r="F87" s="16"/>
      <c r="G87" s="16"/>
      <c r="H87" s="16"/>
      <c r="I87" s="16"/>
      <c r="J87" s="16"/>
      <c r="K87" s="16"/>
      <c r="L87" s="16"/>
      <c r="M87" s="16"/>
    </row>
    <row r="88" spans="1:13" x14ac:dyDescent="0.25">
      <c r="A88" s="16"/>
      <c r="B88" s="16"/>
      <c r="C88" s="16"/>
      <c r="D88" s="16"/>
      <c r="E88" s="16"/>
      <c r="F88" s="16"/>
      <c r="G88" s="16"/>
      <c r="H88" s="16"/>
      <c r="I88" s="16"/>
      <c r="J88" s="16"/>
      <c r="K88" s="16"/>
      <c r="L88" s="16"/>
      <c r="M88" s="16"/>
    </row>
    <row r="89" spans="1:13" x14ac:dyDescent="0.25">
      <c r="A89" s="16"/>
      <c r="B89" s="16"/>
      <c r="C89" s="16"/>
      <c r="D89" s="16"/>
      <c r="E89" s="16"/>
      <c r="F89" s="16"/>
      <c r="G89" s="16"/>
      <c r="H89" s="16"/>
      <c r="I89" s="16"/>
      <c r="J89" s="16"/>
      <c r="K89" s="16"/>
      <c r="L89" s="16"/>
      <c r="M89" s="16"/>
    </row>
    <row r="90" spans="1:13" x14ac:dyDescent="0.25">
      <c r="A90" s="16"/>
      <c r="B90" s="16"/>
      <c r="C90" s="16"/>
      <c r="D90" s="16"/>
      <c r="E90" s="16"/>
      <c r="F90" s="16"/>
      <c r="G90" s="16"/>
      <c r="H90" s="16"/>
      <c r="I90" s="16"/>
      <c r="J90" s="16"/>
      <c r="K90" s="16"/>
      <c r="L90" s="16"/>
      <c r="M90" s="16"/>
    </row>
    <row r="91" spans="1:13" x14ac:dyDescent="0.25">
      <c r="A91" s="16"/>
      <c r="B91" s="353"/>
      <c r="C91" s="16"/>
      <c r="D91" s="16"/>
      <c r="E91" s="16"/>
      <c r="F91" s="16"/>
      <c r="G91" s="16"/>
      <c r="H91" s="16"/>
      <c r="I91" s="16"/>
      <c r="J91" s="16"/>
      <c r="K91" s="16"/>
      <c r="L91" s="16"/>
      <c r="M91" s="16"/>
    </row>
    <row r="92" spans="1:13" x14ac:dyDescent="0.25">
      <c r="A92" s="16"/>
      <c r="B92" s="16"/>
      <c r="C92" s="16"/>
      <c r="D92" s="16"/>
      <c r="E92" s="16"/>
      <c r="F92" s="16"/>
      <c r="G92" s="16"/>
      <c r="H92" s="16"/>
      <c r="I92" s="16"/>
      <c r="J92" s="16"/>
      <c r="K92" s="16"/>
      <c r="L92" s="16"/>
      <c r="M92" s="16"/>
    </row>
    <row r="93" spans="1:13" x14ac:dyDescent="0.25">
      <c r="A93" s="16"/>
      <c r="B93" s="16"/>
      <c r="C93" s="16"/>
      <c r="D93" s="16"/>
      <c r="E93" s="16"/>
      <c r="F93" s="16"/>
      <c r="G93" s="16"/>
      <c r="H93" s="16"/>
      <c r="I93" s="16"/>
      <c r="J93" s="16"/>
      <c r="K93" s="16"/>
      <c r="L93" s="16"/>
      <c r="M93" s="16"/>
    </row>
    <row r="94" spans="1:13" x14ac:dyDescent="0.25">
      <c r="A94" s="16"/>
      <c r="B94" s="16"/>
      <c r="C94" s="16"/>
      <c r="D94" s="16"/>
      <c r="E94" s="16"/>
      <c r="F94" s="16"/>
      <c r="G94" s="16"/>
      <c r="H94" s="16"/>
      <c r="I94" s="16"/>
      <c r="J94" s="16"/>
      <c r="K94" s="16"/>
      <c r="L94" s="16"/>
      <c r="M94"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1" firstPageNumber="261" fitToHeight="0" orientation="portrait" horizontalDpi="360" verticalDpi="360" r:id="rId1"/>
  <headerFooter scaleWithDoc="0">
    <oddFooter>&amp;C&amp;"Candara,Regular"&amp;10Page &amp;"Candara,Bold"&amp;P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14"/>
  <sheetViews>
    <sheetView view="pageBreakPreview" topLeftCell="A19" zoomScaleNormal="115" zoomScaleSheetLayoutView="100" workbookViewId="0">
      <selection activeCell="C40" sqref="C40"/>
    </sheetView>
  </sheetViews>
  <sheetFormatPr defaultColWidth="9.140625" defaultRowHeight="15" x14ac:dyDescent="0.25"/>
  <cols>
    <col min="1" max="1" width="37.7109375" style="41" customWidth="1"/>
    <col min="2" max="2" width="12.7109375" style="41" customWidth="1"/>
    <col min="3" max="3" width="15.5703125" style="41" bestFit="1" customWidth="1"/>
    <col min="4" max="5" width="14.7109375" style="41" customWidth="1"/>
    <col min="6" max="7" width="15.5703125" style="41" bestFit="1" customWidth="1"/>
    <col min="8" max="16384" width="9.140625" style="41"/>
  </cols>
  <sheetData>
    <row r="1" spans="1:13" ht="15" customHeight="1" x14ac:dyDescent="0.25">
      <c r="A1" s="1071"/>
      <c r="B1" s="1071"/>
      <c r="C1" s="1071"/>
      <c r="D1" s="1071"/>
      <c r="E1" s="1071"/>
      <c r="F1" s="1071"/>
      <c r="G1" s="1071"/>
    </row>
    <row r="2" spans="1:13" ht="18.75" customHeight="1" x14ac:dyDescent="0.3">
      <c r="A2" s="1072" t="s">
        <v>232</v>
      </c>
      <c r="B2" s="1072"/>
      <c r="C2" s="1072"/>
      <c r="D2" s="1072"/>
      <c r="E2" s="1072"/>
      <c r="F2" s="1072"/>
      <c r="G2" s="1072"/>
    </row>
    <row r="3" spans="1:13" ht="15.75" customHeight="1" x14ac:dyDescent="0.25">
      <c r="A3" s="1073" t="s">
        <v>233</v>
      </c>
      <c r="B3" s="1073"/>
      <c r="C3" s="1073"/>
      <c r="D3" s="1073"/>
      <c r="E3" s="1073"/>
      <c r="F3" s="1073"/>
      <c r="G3" s="1073"/>
    </row>
    <row r="4" spans="1:13" ht="15" customHeight="1" x14ac:dyDescent="0.25">
      <c r="A4" s="1074" t="s">
        <v>432</v>
      </c>
      <c r="B4" s="1075"/>
      <c r="C4" s="1075"/>
      <c r="D4" s="1075"/>
      <c r="E4" s="1075"/>
      <c r="F4" s="1075"/>
      <c r="G4" s="1075"/>
    </row>
    <row r="6" spans="1:13" s="43" customFormat="1" ht="12" x14ac:dyDescent="0.2">
      <c r="A6" s="1080" t="s">
        <v>1</v>
      </c>
      <c r="B6" s="1083" t="s">
        <v>2</v>
      </c>
      <c r="C6" s="1086" t="s">
        <v>310</v>
      </c>
      <c r="D6" s="1089" t="s">
        <v>307</v>
      </c>
      <c r="E6" s="1090"/>
      <c r="F6" s="1091"/>
      <c r="G6" s="1095" t="s">
        <v>311</v>
      </c>
      <c r="H6" s="358"/>
      <c r="I6" s="358"/>
      <c r="J6" s="358"/>
      <c r="K6" s="358"/>
      <c r="L6" s="358"/>
      <c r="M6" s="358"/>
    </row>
    <row r="7" spans="1:13" s="43" customFormat="1" ht="12" x14ac:dyDescent="0.2">
      <c r="A7" s="1081"/>
      <c r="B7" s="1084"/>
      <c r="C7" s="1087"/>
      <c r="D7" s="1092"/>
      <c r="E7" s="1093"/>
      <c r="F7" s="1094"/>
      <c r="G7" s="1096"/>
      <c r="H7" s="358"/>
      <c r="I7" s="358"/>
      <c r="J7" s="358"/>
      <c r="K7" s="358"/>
      <c r="L7" s="358"/>
      <c r="M7" s="358"/>
    </row>
    <row r="8" spans="1:13" s="43" customFormat="1" ht="24" x14ac:dyDescent="0.2">
      <c r="A8" s="1082"/>
      <c r="B8" s="1085"/>
      <c r="C8" s="1088"/>
      <c r="D8" s="751" t="s">
        <v>308</v>
      </c>
      <c r="E8" s="691" t="s">
        <v>309</v>
      </c>
      <c r="F8" s="751" t="s">
        <v>3</v>
      </c>
      <c r="G8" s="1097"/>
      <c r="H8" s="358"/>
      <c r="I8" s="358"/>
      <c r="J8" s="358"/>
      <c r="K8" s="358"/>
      <c r="L8" s="358"/>
      <c r="M8" s="358"/>
    </row>
    <row r="9" spans="1:13" s="63" customFormat="1" ht="12" x14ac:dyDescent="0.25">
      <c r="A9" s="736">
        <v>1</v>
      </c>
      <c r="B9" s="742">
        <v>2</v>
      </c>
      <c r="C9" s="744">
        <v>3</v>
      </c>
      <c r="D9" s="742">
        <v>4</v>
      </c>
      <c r="E9" s="744">
        <v>5</v>
      </c>
      <c r="F9" s="742">
        <v>6</v>
      </c>
      <c r="G9" s="748">
        <v>7</v>
      </c>
      <c r="H9" s="692"/>
      <c r="I9" s="692"/>
      <c r="J9" s="692"/>
      <c r="K9" s="692"/>
      <c r="L9" s="692"/>
      <c r="M9" s="692"/>
    </row>
    <row r="10" spans="1:13" s="43" customFormat="1" ht="15" customHeight="1" x14ac:dyDescent="0.2">
      <c r="A10" s="737" t="s">
        <v>433</v>
      </c>
      <c r="B10" s="362"/>
      <c r="C10" s="745"/>
      <c r="D10" s="363"/>
      <c r="E10" s="745"/>
      <c r="F10" s="363"/>
      <c r="G10" s="749"/>
      <c r="H10" s="358"/>
      <c r="I10" s="358"/>
      <c r="J10" s="358"/>
      <c r="K10" s="358"/>
      <c r="L10" s="358"/>
      <c r="M10" s="358"/>
    </row>
    <row r="11" spans="1:13" s="43" customFormat="1" ht="15" customHeight="1" x14ac:dyDescent="0.2">
      <c r="A11" s="738" t="s">
        <v>434</v>
      </c>
      <c r="B11" s="352"/>
      <c r="C11" s="609">
        <v>58302150.439999998</v>
      </c>
      <c r="D11" s="369"/>
      <c r="E11" s="609"/>
      <c r="F11" s="369">
        <v>64000000</v>
      </c>
      <c r="G11" s="622"/>
      <c r="H11" s="358"/>
      <c r="I11" s="358"/>
      <c r="J11" s="358"/>
      <c r="K11" s="358"/>
      <c r="L11" s="358"/>
      <c r="M11" s="358"/>
    </row>
    <row r="12" spans="1:13" s="43" customFormat="1" ht="15" customHeight="1" x14ac:dyDescent="0.2">
      <c r="A12" s="739" t="s">
        <v>436</v>
      </c>
      <c r="B12" s="442"/>
      <c r="C12" s="611">
        <v>51577380.310000002</v>
      </c>
      <c r="D12" s="444"/>
      <c r="E12" s="611"/>
      <c r="F12" s="444">
        <v>59110860.280000001</v>
      </c>
      <c r="G12" s="624"/>
      <c r="H12" s="358"/>
      <c r="I12" s="358"/>
      <c r="J12" s="358"/>
      <c r="K12" s="358"/>
      <c r="L12" s="358"/>
      <c r="M12" s="358"/>
    </row>
    <row r="13" spans="1:13" s="55" customFormat="1" ht="15" customHeight="1" x14ac:dyDescent="0.2">
      <c r="A13" s="740" t="s">
        <v>435</v>
      </c>
      <c r="B13" s="397"/>
      <c r="C13" s="707">
        <f>SUM(C11:C12)</f>
        <v>109879530.75</v>
      </c>
      <c r="D13" s="398">
        <f>SUM(D11:D12)</f>
        <v>0</v>
      </c>
      <c r="E13" s="707">
        <f>SUM(E11:E12)</f>
        <v>0</v>
      </c>
      <c r="F13" s="398">
        <f>SUM(F11:F12)</f>
        <v>123110860.28</v>
      </c>
      <c r="G13" s="708">
        <f>SUM(G11:G12)</f>
        <v>0</v>
      </c>
      <c r="H13" s="533"/>
      <c r="I13" s="533"/>
      <c r="J13" s="533"/>
      <c r="K13" s="533"/>
      <c r="L13" s="533"/>
      <c r="M13" s="533"/>
    </row>
    <row r="14" spans="1:13" s="43" customFormat="1" ht="15" customHeight="1" x14ac:dyDescent="0.2">
      <c r="A14" s="737" t="s">
        <v>437</v>
      </c>
      <c r="B14" s="362"/>
      <c r="C14" s="745"/>
      <c r="D14" s="363"/>
      <c r="E14" s="745"/>
      <c r="F14" s="363"/>
      <c r="G14" s="749"/>
      <c r="H14" s="358"/>
      <c r="I14" s="358"/>
      <c r="J14" s="358"/>
      <c r="K14" s="358"/>
      <c r="L14" s="358"/>
      <c r="M14" s="358"/>
    </row>
    <row r="15" spans="1:13" s="43" customFormat="1" ht="15" customHeight="1" x14ac:dyDescent="0.2">
      <c r="A15" s="484" t="s">
        <v>813</v>
      </c>
      <c r="B15" s="743"/>
      <c r="C15" s="746"/>
      <c r="D15" s="448"/>
      <c r="E15" s="746"/>
      <c r="F15" s="369">
        <v>5000000</v>
      </c>
      <c r="G15" s="622"/>
      <c r="H15" s="358"/>
      <c r="I15" s="358"/>
      <c r="J15" s="358"/>
      <c r="K15" s="358"/>
      <c r="L15" s="358"/>
      <c r="M15" s="358"/>
    </row>
    <row r="16" spans="1:13" s="43" customFormat="1" ht="30" customHeight="1" x14ac:dyDescent="0.2">
      <c r="A16" s="738" t="s">
        <v>814</v>
      </c>
      <c r="B16" s="352"/>
      <c r="C16" s="609"/>
      <c r="D16" s="369"/>
      <c r="E16" s="609"/>
      <c r="F16" s="369">
        <v>10000000</v>
      </c>
      <c r="G16" s="622"/>
      <c r="H16" s="358"/>
      <c r="I16" s="358"/>
      <c r="J16" s="358"/>
      <c r="K16" s="358"/>
      <c r="L16" s="358"/>
      <c r="M16" s="358"/>
    </row>
    <row r="17" spans="1:13" s="43" customFormat="1" ht="15" customHeight="1" x14ac:dyDescent="0.2">
      <c r="A17" s="738" t="s">
        <v>815</v>
      </c>
      <c r="B17" s="352"/>
      <c r="C17" s="609"/>
      <c r="D17" s="369"/>
      <c r="E17" s="609"/>
      <c r="F17" s="369">
        <v>5000000</v>
      </c>
      <c r="G17" s="622"/>
      <c r="H17" s="358"/>
      <c r="I17" s="358"/>
      <c r="J17" s="358"/>
      <c r="K17" s="358"/>
      <c r="L17" s="358"/>
      <c r="M17" s="358"/>
    </row>
    <row r="18" spans="1:13" s="43" customFormat="1" ht="30" customHeight="1" x14ac:dyDescent="0.2">
      <c r="A18" s="738" t="s">
        <v>816</v>
      </c>
      <c r="B18" s="352"/>
      <c r="C18" s="609"/>
      <c r="D18" s="369"/>
      <c r="E18" s="609"/>
      <c r="F18" s="369">
        <v>5000000</v>
      </c>
      <c r="G18" s="622"/>
      <c r="H18" s="358"/>
      <c r="I18" s="358"/>
      <c r="J18" s="358"/>
      <c r="K18" s="358"/>
      <c r="L18" s="358"/>
      <c r="M18" s="358"/>
    </row>
    <row r="19" spans="1:13" s="43" customFormat="1" ht="15" customHeight="1" x14ac:dyDescent="0.2">
      <c r="A19" s="738" t="s">
        <v>708</v>
      </c>
      <c r="B19" s="352"/>
      <c r="C19" s="609"/>
      <c r="D19" s="369"/>
      <c r="E19" s="609"/>
      <c r="F19" s="369"/>
      <c r="G19" s="622"/>
      <c r="H19" s="358"/>
      <c r="I19" s="358"/>
      <c r="J19" s="358"/>
      <c r="K19" s="358"/>
      <c r="L19" s="358"/>
      <c r="M19" s="358"/>
    </row>
    <row r="20" spans="1:13" s="43" customFormat="1" ht="15" customHeight="1" x14ac:dyDescent="0.2">
      <c r="A20" s="739" t="s">
        <v>439</v>
      </c>
      <c r="B20" s="442"/>
      <c r="C20" s="611"/>
      <c r="D20" s="444"/>
      <c r="E20" s="611"/>
      <c r="F20" s="369"/>
      <c r="G20" s="624"/>
      <c r="H20" s="358"/>
      <c r="I20" s="358"/>
      <c r="J20" s="358"/>
      <c r="K20" s="358"/>
      <c r="L20" s="358"/>
      <c r="M20" s="358"/>
    </row>
    <row r="21" spans="1:13" s="43" customFormat="1" ht="87" customHeight="1" x14ac:dyDescent="0.2">
      <c r="A21" s="739" t="s">
        <v>828</v>
      </c>
      <c r="B21" s="442"/>
      <c r="C21" s="611">
        <v>7467973.5199999996</v>
      </c>
      <c r="D21" s="444"/>
      <c r="E21" s="611"/>
      <c r="F21" s="369"/>
      <c r="G21" s="624"/>
      <c r="H21" s="358"/>
      <c r="I21" s="358"/>
      <c r="J21" s="358"/>
      <c r="K21" s="358"/>
      <c r="L21" s="358"/>
      <c r="M21" s="358"/>
    </row>
    <row r="22" spans="1:13" s="43" customFormat="1" ht="43.5" customHeight="1" x14ac:dyDescent="0.2">
      <c r="A22" s="739" t="s">
        <v>829</v>
      </c>
      <c r="B22" s="442"/>
      <c r="C22" s="611">
        <v>1970436.75</v>
      </c>
      <c r="D22" s="444"/>
      <c r="E22" s="611"/>
      <c r="F22" s="369"/>
      <c r="G22" s="624"/>
      <c r="H22" s="358"/>
      <c r="I22" s="358"/>
      <c r="J22" s="358"/>
      <c r="K22" s="358"/>
      <c r="L22" s="358"/>
      <c r="M22" s="358"/>
    </row>
    <row r="23" spans="1:13" s="43" customFormat="1" ht="15" customHeight="1" x14ac:dyDescent="0.2">
      <c r="A23" s="739" t="s">
        <v>830</v>
      </c>
      <c r="B23" s="442"/>
      <c r="C23" s="611">
        <v>698300</v>
      </c>
      <c r="D23" s="444"/>
      <c r="E23" s="611"/>
      <c r="F23" s="369"/>
      <c r="G23" s="624"/>
      <c r="H23" s="358"/>
      <c r="I23" s="358"/>
      <c r="J23" s="358"/>
      <c r="K23" s="358"/>
      <c r="L23" s="358"/>
      <c r="M23" s="358"/>
    </row>
    <row r="24" spans="1:13" s="55" customFormat="1" ht="15" customHeight="1" x14ac:dyDescent="0.2">
      <c r="A24" s="740" t="s">
        <v>438</v>
      </c>
      <c r="B24" s="397"/>
      <c r="C24" s="708">
        <f t="shared" ref="C24:F24" si="0">SUM(C15:C23)</f>
        <v>10136710.27</v>
      </c>
      <c r="D24" s="708">
        <f t="shared" si="0"/>
        <v>0</v>
      </c>
      <c r="E24" s="708">
        <f t="shared" si="0"/>
        <v>0</v>
      </c>
      <c r="F24" s="708">
        <f t="shared" si="0"/>
        <v>25000000</v>
      </c>
      <c r="G24" s="708">
        <f>SUM(G15:G23)</f>
        <v>0</v>
      </c>
      <c r="H24" s="533"/>
      <c r="I24" s="533"/>
      <c r="J24" s="533"/>
      <c r="K24" s="533"/>
      <c r="L24" s="533"/>
      <c r="M24" s="533"/>
    </row>
    <row r="25" spans="1:13" s="43" customFormat="1" ht="15" customHeight="1" x14ac:dyDescent="0.2">
      <c r="A25" s="737" t="s">
        <v>440</v>
      </c>
      <c r="B25" s="362"/>
      <c r="C25" s="745"/>
      <c r="D25" s="363"/>
      <c r="E25" s="745"/>
      <c r="F25" s="363"/>
      <c r="G25" s="749"/>
      <c r="H25" s="358"/>
      <c r="I25" s="358"/>
      <c r="J25" s="358"/>
      <c r="K25" s="358"/>
      <c r="L25" s="358"/>
      <c r="M25" s="358"/>
    </row>
    <row r="26" spans="1:13" s="43" customFormat="1" ht="15" customHeight="1" x14ac:dyDescent="0.2">
      <c r="A26" s="738" t="s">
        <v>527</v>
      </c>
      <c r="B26" s="352"/>
      <c r="C26" s="609"/>
      <c r="D26" s="369"/>
      <c r="E26" s="609"/>
      <c r="F26" s="369"/>
      <c r="G26" s="622"/>
      <c r="H26" s="358"/>
      <c r="I26" s="358"/>
      <c r="J26" s="358"/>
      <c r="K26" s="358"/>
      <c r="L26" s="358"/>
      <c r="M26" s="358"/>
    </row>
    <row r="27" spans="1:13" s="43" customFormat="1" ht="15" customHeight="1" x14ac:dyDescent="0.2">
      <c r="A27" s="738" t="s">
        <v>528</v>
      </c>
      <c r="B27" s="352"/>
      <c r="C27" s="609">
        <v>5618622.2400000002</v>
      </c>
      <c r="D27" s="369"/>
      <c r="E27" s="609"/>
      <c r="F27" s="369"/>
      <c r="G27" s="622"/>
      <c r="H27" s="358"/>
      <c r="I27" s="358"/>
      <c r="J27" s="358"/>
      <c r="K27" s="358"/>
      <c r="L27" s="358"/>
      <c r="M27" s="358"/>
    </row>
    <row r="28" spans="1:13" s="43" customFormat="1" ht="30" customHeight="1" x14ac:dyDescent="0.2">
      <c r="A28" s="738" t="s">
        <v>441</v>
      </c>
      <c r="B28" s="352"/>
      <c r="C28" s="609"/>
      <c r="D28" s="369"/>
      <c r="E28" s="609"/>
      <c r="F28" s="369"/>
      <c r="G28" s="622"/>
      <c r="H28" s="358"/>
      <c r="I28" s="358"/>
      <c r="J28" s="358"/>
      <c r="K28" s="358"/>
      <c r="L28" s="358"/>
      <c r="M28" s="358"/>
    </row>
    <row r="29" spans="1:13" s="43" customFormat="1" ht="15" customHeight="1" x14ac:dyDescent="0.2">
      <c r="A29" s="738" t="s">
        <v>442</v>
      </c>
      <c r="B29" s="352"/>
      <c r="C29" s="609"/>
      <c r="D29" s="369"/>
      <c r="E29" s="609"/>
      <c r="F29" s="369"/>
      <c r="G29" s="622"/>
      <c r="H29" s="358"/>
      <c r="I29" s="358"/>
      <c r="J29" s="358"/>
      <c r="K29" s="358"/>
      <c r="L29" s="358"/>
      <c r="M29" s="358"/>
    </row>
    <row r="30" spans="1:13" s="43" customFormat="1" ht="15" customHeight="1" x14ac:dyDescent="0.2">
      <c r="A30" s="738" t="s">
        <v>817</v>
      </c>
      <c r="B30" s="352"/>
      <c r="C30" s="609"/>
      <c r="D30" s="369"/>
      <c r="E30" s="609"/>
      <c r="F30" s="369">
        <v>10000000</v>
      </c>
      <c r="G30" s="622"/>
      <c r="H30" s="358"/>
      <c r="I30" s="358"/>
      <c r="J30" s="358"/>
      <c r="K30" s="358"/>
      <c r="L30" s="358"/>
      <c r="M30" s="358"/>
    </row>
    <row r="31" spans="1:13" s="43" customFormat="1" ht="30" customHeight="1" x14ac:dyDescent="0.2">
      <c r="A31" s="738" t="s">
        <v>818</v>
      </c>
      <c r="B31" s="352"/>
      <c r="C31" s="609">
        <v>4685267.13</v>
      </c>
      <c r="D31" s="369"/>
      <c r="E31" s="609"/>
      <c r="F31" s="369">
        <v>4379517.5199999996</v>
      </c>
      <c r="G31" s="622"/>
      <c r="H31" s="358"/>
      <c r="I31" s="358"/>
      <c r="J31" s="358"/>
      <c r="K31" s="358"/>
      <c r="L31" s="358"/>
      <c r="M31" s="358"/>
    </row>
    <row r="32" spans="1:13" s="43" customFormat="1" ht="15" customHeight="1" x14ac:dyDescent="0.2">
      <c r="A32" s="738" t="s">
        <v>819</v>
      </c>
      <c r="B32" s="352"/>
      <c r="C32" s="609"/>
      <c r="D32" s="369"/>
      <c r="E32" s="609"/>
      <c r="F32" s="369">
        <v>14000000</v>
      </c>
      <c r="G32" s="622"/>
      <c r="H32" s="358"/>
      <c r="I32" s="358"/>
      <c r="J32" s="358"/>
      <c r="K32" s="358"/>
      <c r="L32" s="358"/>
      <c r="M32" s="358"/>
    </row>
    <row r="33" spans="1:13" s="43" customFormat="1" ht="38.25" x14ac:dyDescent="0.2">
      <c r="A33" s="738" t="s">
        <v>831</v>
      </c>
      <c r="B33" s="352"/>
      <c r="C33" s="609">
        <v>5715995.6600000001</v>
      </c>
      <c r="D33" s="369"/>
      <c r="E33" s="609"/>
      <c r="F33" s="369"/>
      <c r="G33" s="622"/>
      <c r="H33" s="358"/>
      <c r="I33" s="358"/>
      <c r="J33" s="358"/>
      <c r="K33" s="358"/>
      <c r="L33" s="358"/>
      <c r="M33" s="358"/>
    </row>
    <row r="34" spans="1:13" s="55" customFormat="1" ht="15" customHeight="1" x14ac:dyDescent="0.2">
      <c r="A34" s="740" t="s">
        <v>444</v>
      </c>
      <c r="B34" s="397"/>
      <c r="C34" s="708">
        <f t="shared" ref="C34:F34" si="1">SUM(C26:C33)</f>
        <v>16019885.030000001</v>
      </c>
      <c r="D34" s="708">
        <f t="shared" si="1"/>
        <v>0</v>
      </c>
      <c r="E34" s="708">
        <f t="shared" si="1"/>
        <v>0</v>
      </c>
      <c r="F34" s="708">
        <f t="shared" si="1"/>
        <v>28379517.52</v>
      </c>
      <c r="G34" s="708">
        <f>SUM(G26:G33)</f>
        <v>0</v>
      </c>
      <c r="H34" s="533"/>
      <c r="I34" s="533"/>
      <c r="J34" s="533"/>
      <c r="K34" s="533"/>
      <c r="L34" s="533"/>
      <c r="M34" s="533"/>
    </row>
    <row r="35" spans="1:13" s="43" customFormat="1" ht="15" customHeight="1" x14ac:dyDescent="0.2">
      <c r="A35" s="737" t="s">
        <v>443</v>
      </c>
      <c r="B35" s="362"/>
      <c r="C35" s="745"/>
      <c r="D35" s="363"/>
      <c r="E35" s="745"/>
      <c r="F35" s="363"/>
      <c r="G35" s="749"/>
      <c r="H35" s="358"/>
      <c r="I35" s="358"/>
      <c r="J35" s="358"/>
      <c r="K35" s="358"/>
      <c r="L35" s="358"/>
      <c r="M35" s="358"/>
    </row>
    <row r="36" spans="1:13" s="43" customFormat="1" ht="15" customHeight="1" x14ac:dyDescent="0.2">
      <c r="A36" s="738" t="s">
        <v>529</v>
      </c>
      <c r="B36" s="352"/>
      <c r="C36" s="609">
        <v>19968433.5</v>
      </c>
      <c r="D36" s="369"/>
      <c r="E36" s="609"/>
      <c r="F36" s="369"/>
      <c r="G36" s="622"/>
      <c r="H36" s="358"/>
      <c r="I36" s="358"/>
      <c r="J36" s="358"/>
      <c r="K36" s="358"/>
      <c r="L36" s="358"/>
      <c r="M36" s="358"/>
    </row>
    <row r="37" spans="1:13" s="43" customFormat="1" ht="15" customHeight="1" x14ac:dyDescent="0.2">
      <c r="A37" s="739" t="s">
        <v>820</v>
      </c>
      <c r="B37" s="442"/>
      <c r="C37" s="611">
        <v>2195000</v>
      </c>
      <c r="D37" s="444"/>
      <c r="E37" s="611"/>
      <c r="F37" s="444">
        <v>12000000</v>
      </c>
      <c r="G37" s="624"/>
      <c r="H37" s="358"/>
      <c r="I37" s="358"/>
      <c r="J37" s="358"/>
      <c r="K37" s="358"/>
      <c r="L37" s="358"/>
      <c r="M37" s="358"/>
    </row>
    <row r="38" spans="1:13" s="43" customFormat="1" ht="30" customHeight="1" x14ac:dyDescent="0.2">
      <c r="A38" s="739" t="s">
        <v>821</v>
      </c>
      <c r="B38" s="442"/>
      <c r="C38" s="611"/>
      <c r="D38" s="444"/>
      <c r="E38" s="611"/>
      <c r="F38" s="444">
        <v>4800000</v>
      </c>
      <c r="G38" s="624"/>
      <c r="H38" s="358"/>
      <c r="I38" s="358"/>
      <c r="J38" s="358"/>
      <c r="K38" s="358"/>
      <c r="L38" s="358"/>
      <c r="M38" s="358"/>
    </row>
    <row r="39" spans="1:13" s="55" customFormat="1" ht="15" customHeight="1" x14ac:dyDescent="0.2">
      <c r="A39" s="740" t="s">
        <v>445</v>
      </c>
      <c r="B39" s="397"/>
      <c r="C39" s="708">
        <f t="shared" ref="C39:F39" si="2">SUM(C36:C38)</f>
        <v>22163433.5</v>
      </c>
      <c r="D39" s="708">
        <f t="shared" si="2"/>
        <v>0</v>
      </c>
      <c r="E39" s="708">
        <f t="shared" si="2"/>
        <v>0</v>
      </c>
      <c r="F39" s="708">
        <f t="shared" si="2"/>
        <v>16800000</v>
      </c>
      <c r="G39" s="708">
        <f>SUM(G36:G38)</f>
        <v>0</v>
      </c>
      <c r="H39" s="533"/>
      <c r="I39" s="533"/>
      <c r="J39" s="533"/>
      <c r="K39" s="533"/>
      <c r="L39" s="533"/>
      <c r="M39" s="533"/>
    </row>
    <row r="40" spans="1:13" s="43" customFormat="1" ht="15" customHeight="1" x14ac:dyDescent="0.2">
      <c r="A40" s="737" t="s">
        <v>822</v>
      </c>
      <c r="B40" s="362"/>
      <c r="C40" s="745"/>
      <c r="D40" s="363"/>
      <c r="E40" s="745"/>
      <c r="F40" s="363"/>
      <c r="G40" s="749"/>
      <c r="H40" s="358"/>
      <c r="I40" s="358"/>
      <c r="J40" s="358"/>
      <c r="K40" s="358"/>
      <c r="L40" s="358"/>
      <c r="M40" s="358"/>
    </row>
    <row r="41" spans="1:13" s="43" customFormat="1" ht="30" customHeight="1" x14ac:dyDescent="0.2">
      <c r="A41" s="738" t="s">
        <v>823</v>
      </c>
      <c r="B41" s="352"/>
      <c r="C41" s="609">
        <v>4964995.55</v>
      </c>
      <c r="D41" s="369"/>
      <c r="E41" s="609"/>
      <c r="F41" s="369">
        <v>20000000</v>
      </c>
      <c r="G41" s="622"/>
      <c r="H41" s="358"/>
      <c r="I41" s="358"/>
      <c r="J41" s="358"/>
      <c r="K41" s="358"/>
      <c r="L41" s="358"/>
      <c r="M41" s="358"/>
    </row>
    <row r="42" spans="1:13" s="43" customFormat="1" ht="30" customHeight="1" x14ac:dyDescent="0.2">
      <c r="A42" s="739" t="s">
        <v>824</v>
      </c>
      <c r="B42" s="442"/>
      <c r="C42" s="611"/>
      <c r="D42" s="444"/>
      <c r="E42" s="611"/>
      <c r="F42" s="444">
        <v>30000000</v>
      </c>
      <c r="G42" s="624"/>
      <c r="H42" s="358"/>
      <c r="I42" s="358"/>
      <c r="J42" s="358"/>
      <c r="K42" s="358"/>
      <c r="L42" s="358"/>
      <c r="M42" s="358"/>
    </row>
    <row r="43" spans="1:13" s="43" customFormat="1" ht="40.5" customHeight="1" x14ac:dyDescent="0.2">
      <c r="A43" s="739" t="s">
        <v>832</v>
      </c>
      <c r="B43" s="442"/>
      <c r="C43" s="611">
        <v>6984958.5800000001</v>
      </c>
      <c r="D43" s="444"/>
      <c r="E43" s="611"/>
      <c r="F43" s="444"/>
      <c r="G43" s="624"/>
      <c r="H43" s="358"/>
      <c r="I43" s="358"/>
      <c r="J43" s="358"/>
      <c r="K43" s="358"/>
      <c r="L43" s="358"/>
      <c r="M43" s="358"/>
    </row>
    <row r="44" spans="1:13" s="43" customFormat="1" ht="12.75" x14ac:dyDescent="0.2">
      <c r="A44" s="739" t="s">
        <v>833</v>
      </c>
      <c r="B44" s="442"/>
      <c r="C44" s="611">
        <v>1000000</v>
      </c>
      <c r="D44" s="444"/>
      <c r="E44" s="611"/>
      <c r="F44" s="444"/>
      <c r="G44" s="624"/>
      <c r="H44" s="358"/>
      <c r="I44" s="358"/>
      <c r="J44" s="358"/>
      <c r="K44" s="358"/>
      <c r="L44" s="358"/>
      <c r="M44" s="358"/>
    </row>
    <row r="45" spans="1:13" s="55" customFormat="1" ht="15" customHeight="1" x14ac:dyDescent="0.2">
      <c r="A45" s="740" t="s">
        <v>445</v>
      </c>
      <c r="B45" s="397"/>
      <c r="C45" s="708">
        <f t="shared" ref="C45:F45" si="3">SUM(C41:C44)</f>
        <v>12949954.129999999</v>
      </c>
      <c r="D45" s="708">
        <f t="shared" si="3"/>
        <v>0</v>
      </c>
      <c r="E45" s="708">
        <f t="shared" si="3"/>
        <v>0</v>
      </c>
      <c r="F45" s="708">
        <f t="shared" si="3"/>
        <v>50000000</v>
      </c>
      <c r="G45" s="708">
        <f>SUM(G41:G44)</f>
        <v>0</v>
      </c>
      <c r="H45" s="533"/>
      <c r="I45" s="533"/>
      <c r="J45" s="533"/>
      <c r="K45" s="533"/>
      <c r="L45" s="533"/>
      <c r="M45" s="533"/>
    </row>
    <row r="46" spans="1:13" s="56" customFormat="1" ht="15" customHeight="1" x14ac:dyDescent="0.2">
      <c r="A46" s="741" t="s">
        <v>113</v>
      </c>
      <c r="B46" s="437"/>
      <c r="C46" s="747">
        <f>C13+C24+C34+C39</f>
        <v>158199559.55000001</v>
      </c>
      <c r="D46" s="421">
        <f>D13+D24+D34+D39</f>
        <v>0</v>
      </c>
      <c r="E46" s="747">
        <f>E13+E24+E34+E39</f>
        <v>0</v>
      </c>
      <c r="F46" s="421">
        <f>F13+F24+F34+F39</f>
        <v>193290377.80000001</v>
      </c>
      <c r="G46" s="750">
        <f>G13+G24+G34+G39+G45</f>
        <v>0</v>
      </c>
      <c r="H46" s="540"/>
      <c r="I46" s="540">
        <v>252381200</v>
      </c>
      <c r="J46" s="540"/>
      <c r="K46" s="540"/>
      <c r="L46" s="540"/>
      <c r="M46" s="540"/>
    </row>
    <row r="47" spans="1:13" x14ac:dyDescent="0.25">
      <c r="A47" s="842" t="s">
        <v>938</v>
      </c>
      <c r="B47" s="16"/>
      <c r="C47" s="16"/>
      <c r="D47" s="16"/>
      <c r="E47" s="16"/>
      <c r="F47" s="16"/>
      <c r="G47" s="16"/>
      <c r="H47" s="16"/>
      <c r="I47" s="16"/>
      <c r="J47" s="16"/>
      <c r="K47" s="16"/>
      <c r="L47" s="16"/>
      <c r="M47" s="16"/>
    </row>
    <row r="48" spans="1:13" x14ac:dyDescent="0.25">
      <c r="A48" s="842" t="s">
        <v>939</v>
      </c>
      <c r="B48" s="16"/>
      <c r="C48" s="16"/>
      <c r="D48" s="16"/>
      <c r="E48" s="16"/>
      <c r="F48" s="16"/>
      <c r="G48" s="16"/>
      <c r="H48" s="16"/>
      <c r="I48" s="546"/>
      <c r="J48" s="16"/>
      <c r="K48" s="16"/>
      <c r="L48" s="16"/>
      <c r="M48" s="16"/>
    </row>
    <row r="49" spans="1:13" x14ac:dyDescent="0.25">
      <c r="A49" s="842" t="s">
        <v>940</v>
      </c>
      <c r="B49" s="16"/>
      <c r="C49" s="16"/>
      <c r="D49" s="16"/>
      <c r="E49" s="16"/>
      <c r="F49" s="16"/>
      <c r="G49" s="16"/>
      <c r="H49" s="16"/>
      <c r="I49" s="16"/>
      <c r="J49" s="16"/>
      <c r="K49" s="16"/>
      <c r="L49" s="16"/>
      <c r="M49" s="16"/>
    </row>
    <row r="50" spans="1:13" x14ac:dyDescent="0.25">
      <c r="A50" s="842" t="s">
        <v>966</v>
      </c>
      <c r="B50" s="16" t="s">
        <v>967</v>
      </c>
      <c r="C50" s="16"/>
      <c r="D50" s="16"/>
      <c r="E50" s="16"/>
      <c r="F50" s="16"/>
      <c r="G50" s="16"/>
      <c r="H50" s="16"/>
      <c r="I50" s="16"/>
      <c r="J50" s="16"/>
      <c r="K50" s="16"/>
      <c r="L50" s="16"/>
      <c r="M50" s="16"/>
    </row>
    <row r="51" spans="1:13" x14ac:dyDescent="0.25">
      <c r="A51" s="842" t="s">
        <v>944</v>
      </c>
      <c r="B51" s="16"/>
      <c r="C51" s="16"/>
      <c r="D51" s="16"/>
      <c r="E51" s="16"/>
      <c r="F51" s="16"/>
      <c r="G51" s="16"/>
      <c r="H51" s="16"/>
      <c r="I51" s="16"/>
      <c r="J51" s="16"/>
      <c r="K51" s="16"/>
      <c r="L51" s="16"/>
      <c r="M51" s="16"/>
    </row>
    <row r="52" spans="1:13" x14ac:dyDescent="0.25">
      <c r="A52" s="842" t="s">
        <v>942</v>
      </c>
      <c r="B52" s="16"/>
      <c r="C52" s="16"/>
      <c r="D52" s="16"/>
      <c r="E52" s="16"/>
      <c r="F52" s="16"/>
      <c r="G52" s="16"/>
      <c r="H52" s="16"/>
      <c r="I52" s="16"/>
      <c r="J52" s="16"/>
      <c r="K52" s="16"/>
      <c r="L52" s="16"/>
      <c r="M52" s="16"/>
    </row>
    <row r="53" spans="1:13" x14ac:dyDescent="0.25">
      <c r="A53" s="842" t="s">
        <v>943</v>
      </c>
      <c r="B53" s="16"/>
      <c r="C53" s="16"/>
      <c r="D53" s="16"/>
      <c r="E53" s="16"/>
      <c r="F53" s="16"/>
      <c r="G53" s="16"/>
      <c r="H53" s="16"/>
      <c r="I53" s="16"/>
      <c r="J53" s="16"/>
      <c r="K53" s="16"/>
      <c r="L53" s="16"/>
      <c r="M53" s="16"/>
    </row>
    <row r="54" spans="1:13" x14ac:dyDescent="0.25">
      <c r="A54" s="842" t="s">
        <v>941</v>
      </c>
      <c r="B54" s="16"/>
      <c r="C54" s="16"/>
      <c r="D54" s="16"/>
      <c r="E54" s="16"/>
      <c r="F54" s="16"/>
      <c r="G54" s="16"/>
      <c r="H54" s="16"/>
      <c r="I54" s="16"/>
      <c r="J54" s="16"/>
      <c r="K54" s="16"/>
      <c r="L54" s="16"/>
      <c r="M54" s="16"/>
    </row>
    <row r="55" spans="1:13" x14ac:dyDescent="0.25">
      <c r="A55" s="16"/>
      <c r="B55" s="16"/>
      <c r="C55" s="16"/>
      <c r="D55" s="16"/>
      <c r="E55" s="16"/>
      <c r="F55" s="16"/>
      <c r="G55" s="16"/>
      <c r="H55" s="16"/>
      <c r="I55" s="16"/>
      <c r="J55" s="16"/>
      <c r="K55" s="16"/>
      <c r="L55" s="16"/>
      <c r="M55" s="16"/>
    </row>
    <row r="56" spans="1:13" x14ac:dyDescent="0.25">
      <c r="A56" s="16"/>
      <c r="B56" s="16"/>
      <c r="C56" s="16"/>
      <c r="D56" s="16"/>
      <c r="E56" s="16"/>
      <c r="F56" s="16"/>
      <c r="G56" s="16"/>
      <c r="H56" s="16"/>
      <c r="I56" s="16"/>
      <c r="J56" s="16"/>
      <c r="K56" s="16"/>
      <c r="L56" s="16"/>
      <c r="M56" s="16"/>
    </row>
    <row r="57" spans="1:13" x14ac:dyDescent="0.25">
      <c r="A57" s="16"/>
      <c r="B57" s="16"/>
      <c r="C57" s="16"/>
      <c r="D57" s="16"/>
      <c r="E57" s="16"/>
      <c r="F57" s="16"/>
      <c r="G57" s="16"/>
      <c r="H57" s="16"/>
      <c r="I57" s="16"/>
      <c r="J57" s="16"/>
      <c r="K57" s="16"/>
      <c r="L57" s="16"/>
      <c r="M57" s="16"/>
    </row>
    <row r="58" spans="1:13" x14ac:dyDescent="0.25">
      <c r="A58" s="16"/>
      <c r="B58" s="16"/>
      <c r="C58" s="16"/>
      <c r="D58" s="16"/>
      <c r="E58" s="16"/>
      <c r="F58" s="16"/>
      <c r="G58" s="16"/>
      <c r="H58" s="16"/>
      <c r="I58" s="16"/>
      <c r="J58" s="16"/>
      <c r="K58" s="16"/>
      <c r="L58" s="16"/>
      <c r="M58" s="16"/>
    </row>
    <row r="59" spans="1:13" x14ac:dyDescent="0.25">
      <c r="A59" s="16"/>
      <c r="B59" s="16"/>
      <c r="C59" s="16"/>
      <c r="D59" s="16"/>
      <c r="E59" s="16"/>
      <c r="F59" s="16"/>
      <c r="G59" s="16"/>
      <c r="H59" s="16"/>
      <c r="I59" s="16"/>
      <c r="J59" s="16"/>
      <c r="K59" s="16"/>
      <c r="L59" s="16"/>
      <c r="M59" s="16"/>
    </row>
    <row r="60" spans="1:13" x14ac:dyDescent="0.25">
      <c r="A60" s="16"/>
      <c r="B60" s="16"/>
      <c r="C60" s="16"/>
      <c r="D60" s="16"/>
      <c r="E60" s="16"/>
      <c r="F60" s="16"/>
      <c r="G60" s="16"/>
      <c r="H60" s="16"/>
      <c r="I60" s="16"/>
      <c r="J60" s="16"/>
      <c r="K60" s="16"/>
      <c r="L60" s="16"/>
      <c r="M60" s="16"/>
    </row>
    <row r="61" spans="1:13" x14ac:dyDescent="0.25">
      <c r="A61" s="16"/>
      <c r="B61" s="16"/>
      <c r="C61" s="16"/>
      <c r="D61" s="16"/>
      <c r="E61" s="16"/>
      <c r="F61" s="16"/>
      <c r="G61" s="16"/>
      <c r="H61" s="16"/>
      <c r="I61" s="16"/>
      <c r="J61" s="16"/>
      <c r="K61" s="16"/>
      <c r="L61" s="16"/>
      <c r="M61" s="16"/>
    </row>
    <row r="62" spans="1:13" x14ac:dyDescent="0.25">
      <c r="A62" s="16"/>
      <c r="B62" s="16"/>
      <c r="C62" s="16"/>
      <c r="D62" s="16"/>
      <c r="E62" s="16"/>
      <c r="F62" s="16"/>
      <c r="G62" s="16"/>
      <c r="H62" s="16"/>
      <c r="I62" s="16"/>
      <c r="J62" s="16"/>
      <c r="K62" s="16"/>
      <c r="L62" s="16"/>
      <c r="M62" s="16"/>
    </row>
    <row r="63" spans="1:13" x14ac:dyDescent="0.25">
      <c r="A63" s="16"/>
      <c r="B63" s="16"/>
      <c r="C63" s="16"/>
      <c r="D63" s="16"/>
      <c r="E63" s="16"/>
      <c r="F63" s="16"/>
      <c r="G63" s="16"/>
      <c r="H63" s="16"/>
      <c r="I63" s="16"/>
      <c r="J63" s="16"/>
      <c r="K63" s="16"/>
      <c r="L63" s="16"/>
      <c r="M63" s="16"/>
    </row>
    <row r="64" spans="1:13" x14ac:dyDescent="0.25">
      <c r="A64" s="16"/>
      <c r="B64" s="16"/>
      <c r="C64" s="16"/>
      <c r="D64" s="16"/>
      <c r="E64" s="16"/>
      <c r="F64" s="16"/>
      <c r="G64" s="16"/>
      <c r="H64" s="16"/>
      <c r="I64" s="16"/>
      <c r="J64" s="16"/>
      <c r="K64" s="16"/>
      <c r="L64" s="16"/>
      <c r="M64" s="16"/>
    </row>
    <row r="65" spans="1:13" x14ac:dyDescent="0.25">
      <c r="A65" s="16"/>
      <c r="B65" s="16"/>
      <c r="C65" s="16"/>
      <c r="D65" s="16"/>
      <c r="E65" s="16"/>
      <c r="F65" s="16"/>
      <c r="G65" s="16"/>
      <c r="H65" s="16"/>
      <c r="I65" s="16"/>
      <c r="J65" s="16"/>
      <c r="K65" s="16"/>
      <c r="L65" s="16"/>
      <c r="M65" s="16"/>
    </row>
    <row r="66" spans="1:13" x14ac:dyDescent="0.25">
      <c r="A66" s="16"/>
      <c r="B66" s="16"/>
      <c r="C66" s="16"/>
      <c r="D66" s="16"/>
      <c r="E66" s="16"/>
      <c r="F66" s="16"/>
      <c r="G66" s="16"/>
      <c r="H66" s="16"/>
      <c r="I66" s="16"/>
      <c r="J66" s="16"/>
      <c r="K66" s="16"/>
      <c r="L66" s="16"/>
      <c r="M66" s="16"/>
    </row>
    <row r="67" spans="1:13" x14ac:dyDescent="0.25">
      <c r="A67" s="16"/>
      <c r="B67" s="16"/>
      <c r="C67" s="16"/>
      <c r="D67" s="16"/>
      <c r="E67" s="16"/>
      <c r="F67" s="16"/>
      <c r="G67" s="16"/>
      <c r="H67" s="16"/>
      <c r="I67" s="16"/>
      <c r="J67" s="16"/>
      <c r="K67" s="16"/>
      <c r="L67" s="16"/>
      <c r="M67" s="16"/>
    </row>
    <row r="68" spans="1:13" x14ac:dyDescent="0.25">
      <c r="A68" s="16"/>
      <c r="B68" s="16"/>
      <c r="C68" s="16"/>
      <c r="D68" s="16"/>
      <c r="E68" s="16"/>
      <c r="F68" s="16"/>
      <c r="G68" s="16"/>
      <c r="H68" s="16"/>
      <c r="I68" s="16"/>
      <c r="J68" s="16"/>
      <c r="K68" s="16"/>
      <c r="L68" s="16"/>
      <c r="M68" s="16"/>
    </row>
    <row r="69" spans="1:13" x14ac:dyDescent="0.25">
      <c r="A69" s="16"/>
      <c r="B69" s="16"/>
      <c r="C69" s="16"/>
      <c r="D69" s="16"/>
      <c r="E69" s="16"/>
      <c r="F69" s="16"/>
      <c r="G69" s="16"/>
      <c r="H69" s="16"/>
      <c r="I69" s="16"/>
      <c r="J69" s="16"/>
      <c r="K69" s="16"/>
      <c r="L69" s="16"/>
      <c r="M69" s="16"/>
    </row>
    <row r="70" spans="1:13" x14ac:dyDescent="0.25">
      <c r="A70" s="16"/>
      <c r="B70" s="16"/>
      <c r="C70" s="16"/>
      <c r="D70" s="16"/>
      <c r="E70" s="16"/>
      <c r="F70" s="16"/>
      <c r="G70" s="16"/>
      <c r="H70" s="16"/>
      <c r="I70" s="16"/>
      <c r="J70" s="16"/>
      <c r="K70" s="16"/>
      <c r="L70" s="16"/>
      <c r="M70" s="16"/>
    </row>
    <row r="71" spans="1:13" x14ac:dyDescent="0.25">
      <c r="A71" s="16"/>
      <c r="B71" s="16"/>
      <c r="C71" s="16"/>
      <c r="D71" s="16"/>
      <c r="E71" s="16"/>
      <c r="F71" s="16"/>
      <c r="G71" s="16"/>
      <c r="H71" s="16"/>
      <c r="I71" s="16"/>
      <c r="J71" s="16"/>
      <c r="K71" s="16"/>
      <c r="L71" s="16"/>
      <c r="M71" s="16"/>
    </row>
    <row r="72" spans="1:13" x14ac:dyDescent="0.25">
      <c r="A72" s="16"/>
      <c r="B72" s="16"/>
      <c r="C72" s="16"/>
      <c r="D72" s="16"/>
      <c r="E72" s="16"/>
      <c r="F72" s="16"/>
      <c r="G72" s="16"/>
      <c r="H72" s="16"/>
      <c r="I72" s="16"/>
      <c r="J72" s="16"/>
      <c r="K72" s="16"/>
      <c r="L72" s="16"/>
      <c r="M72" s="16"/>
    </row>
    <row r="73" spans="1:13" x14ac:dyDescent="0.25">
      <c r="A73" s="16"/>
      <c r="B73" s="16"/>
      <c r="C73" s="16"/>
      <c r="D73" s="16"/>
      <c r="E73" s="16"/>
      <c r="F73" s="16"/>
      <c r="G73" s="16"/>
      <c r="H73" s="16"/>
      <c r="I73" s="16"/>
      <c r="J73" s="16"/>
      <c r="K73" s="16"/>
      <c r="L73" s="16"/>
      <c r="M73" s="16"/>
    </row>
    <row r="74" spans="1:13" x14ac:dyDescent="0.25">
      <c r="A74" s="16"/>
      <c r="B74" s="16"/>
      <c r="C74" s="16"/>
      <c r="D74" s="16"/>
      <c r="E74" s="16"/>
      <c r="F74" s="16"/>
      <c r="G74" s="16"/>
      <c r="H74" s="16"/>
      <c r="I74" s="16"/>
      <c r="J74" s="16"/>
      <c r="K74" s="16"/>
      <c r="L74" s="16"/>
      <c r="M74" s="16"/>
    </row>
    <row r="75" spans="1:13" x14ac:dyDescent="0.25">
      <c r="A75" s="16"/>
      <c r="B75" s="16"/>
      <c r="C75" s="16"/>
      <c r="D75" s="16"/>
      <c r="E75" s="16"/>
      <c r="F75" s="16"/>
      <c r="G75" s="16"/>
      <c r="H75" s="16"/>
      <c r="I75" s="16"/>
      <c r="J75" s="16"/>
      <c r="K75" s="16"/>
      <c r="L75" s="16"/>
      <c r="M75" s="16"/>
    </row>
    <row r="76" spans="1:13" x14ac:dyDescent="0.25">
      <c r="A76" s="16"/>
      <c r="B76" s="16"/>
      <c r="C76" s="16"/>
      <c r="D76" s="16"/>
      <c r="E76" s="16"/>
      <c r="F76" s="16"/>
      <c r="G76" s="16"/>
      <c r="H76" s="16"/>
      <c r="I76" s="16"/>
      <c r="J76" s="16"/>
      <c r="K76" s="16"/>
      <c r="L76" s="16"/>
      <c r="M76" s="16"/>
    </row>
    <row r="77" spans="1:13" x14ac:dyDescent="0.25">
      <c r="A77" s="16"/>
      <c r="B77" s="16"/>
      <c r="C77" s="16"/>
      <c r="D77" s="16"/>
      <c r="E77" s="16"/>
      <c r="F77" s="16"/>
      <c r="G77" s="16"/>
      <c r="H77" s="16"/>
      <c r="I77" s="16"/>
      <c r="J77" s="16"/>
      <c r="K77" s="16"/>
      <c r="L77" s="16"/>
      <c r="M77" s="16"/>
    </row>
    <row r="78" spans="1:13" x14ac:dyDescent="0.25">
      <c r="A78" s="16"/>
      <c r="B78" s="16"/>
      <c r="C78" s="16"/>
      <c r="D78" s="16"/>
      <c r="E78" s="16"/>
      <c r="F78" s="16"/>
      <c r="G78" s="16"/>
      <c r="H78" s="16"/>
      <c r="I78" s="16"/>
      <c r="J78" s="16"/>
      <c r="K78" s="16"/>
      <c r="L78" s="16"/>
      <c r="M78" s="16"/>
    </row>
    <row r="79" spans="1:13" x14ac:dyDescent="0.25">
      <c r="A79" s="16"/>
      <c r="B79" s="16"/>
      <c r="C79" s="16">
        <v>322824.65999999997</v>
      </c>
      <c r="D79" s="16"/>
      <c r="E79" s="16"/>
      <c r="F79" s="16"/>
      <c r="G79" s="16"/>
      <c r="H79" s="16"/>
      <c r="I79" s="16"/>
      <c r="J79" s="16"/>
      <c r="K79" s="16"/>
      <c r="L79" s="16"/>
      <c r="M79" s="16"/>
    </row>
    <row r="80" spans="1:13" x14ac:dyDescent="0.25">
      <c r="A80" s="16"/>
      <c r="B80" s="16"/>
      <c r="C80" s="16"/>
      <c r="D80" s="16"/>
      <c r="E80" s="16"/>
      <c r="F80" s="16"/>
      <c r="G80" s="16"/>
      <c r="H80" s="16"/>
      <c r="I80" s="16"/>
      <c r="J80" s="16"/>
      <c r="K80" s="16"/>
      <c r="L80" s="16"/>
      <c r="M80" s="16"/>
    </row>
    <row r="81" spans="1:13" x14ac:dyDescent="0.25">
      <c r="A81" s="16"/>
      <c r="B81" s="16"/>
      <c r="C81" s="16"/>
      <c r="D81" s="16"/>
      <c r="E81" s="16"/>
      <c r="F81" s="16"/>
      <c r="G81" s="16"/>
      <c r="H81" s="16"/>
      <c r="I81" s="16"/>
      <c r="J81" s="16"/>
      <c r="K81" s="16"/>
      <c r="L81" s="16"/>
      <c r="M81" s="16"/>
    </row>
    <row r="82" spans="1:13" x14ac:dyDescent="0.25">
      <c r="A82" s="16"/>
      <c r="B82" s="16"/>
      <c r="C82" s="16"/>
      <c r="D82" s="16"/>
      <c r="E82" s="16"/>
      <c r="F82" s="16"/>
      <c r="G82" s="16"/>
      <c r="H82" s="16"/>
      <c r="I82" s="16"/>
      <c r="J82" s="16"/>
      <c r="K82" s="16"/>
      <c r="L82" s="16"/>
      <c r="M82" s="16"/>
    </row>
    <row r="83" spans="1:13" x14ac:dyDescent="0.25">
      <c r="A83" s="16"/>
      <c r="B83" s="16"/>
      <c r="C83" s="16"/>
      <c r="D83" s="16"/>
      <c r="E83" s="16"/>
      <c r="F83" s="16"/>
      <c r="G83" s="16"/>
      <c r="H83" s="16"/>
      <c r="I83" s="16"/>
      <c r="J83" s="16"/>
      <c r="K83" s="16"/>
      <c r="L83" s="16"/>
      <c r="M83" s="16"/>
    </row>
    <row r="84" spans="1:13" x14ac:dyDescent="0.25">
      <c r="A84" s="16"/>
      <c r="B84" s="16"/>
      <c r="C84" s="16"/>
      <c r="D84" s="16"/>
      <c r="E84" s="16"/>
      <c r="F84" s="16"/>
      <c r="G84" s="16"/>
      <c r="H84" s="16"/>
      <c r="I84" s="16"/>
      <c r="J84" s="16"/>
      <c r="K84" s="16"/>
      <c r="L84" s="16"/>
      <c r="M84" s="16"/>
    </row>
    <row r="85" spans="1:13" x14ac:dyDescent="0.25">
      <c r="A85" s="16"/>
      <c r="B85" s="16"/>
      <c r="C85" s="16"/>
      <c r="D85" s="16"/>
      <c r="E85" s="16"/>
      <c r="F85" s="16"/>
      <c r="G85" s="16"/>
      <c r="H85" s="16"/>
      <c r="I85" s="16"/>
      <c r="J85" s="16"/>
      <c r="K85" s="16"/>
      <c r="L85" s="16"/>
      <c r="M85" s="16"/>
    </row>
    <row r="86" spans="1:13" x14ac:dyDescent="0.25">
      <c r="A86" s="16"/>
      <c r="B86" s="16"/>
      <c r="C86" s="16"/>
      <c r="D86" s="16"/>
      <c r="E86" s="16"/>
      <c r="F86" s="16"/>
      <c r="G86" s="16"/>
      <c r="H86" s="16"/>
      <c r="I86" s="16"/>
      <c r="J86" s="16"/>
      <c r="K86" s="16"/>
      <c r="L86" s="16"/>
      <c r="M86" s="16"/>
    </row>
    <row r="87" spans="1:13" x14ac:dyDescent="0.25">
      <c r="A87" s="16"/>
      <c r="B87" s="16"/>
      <c r="C87" s="16"/>
      <c r="D87" s="16"/>
      <c r="E87" s="16"/>
      <c r="F87" s="16"/>
      <c r="G87" s="16"/>
      <c r="H87" s="16"/>
      <c r="I87" s="16"/>
      <c r="J87" s="16"/>
      <c r="K87" s="16"/>
      <c r="L87" s="16"/>
      <c r="M87" s="16"/>
    </row>
    <row r="88" spans="1:13" x14ac:dyDescent="0.25">
      <c r="A88" s="16"/>
      <c r="B88" s="16"/>
      <c r="C88" s="16"/>
      <c r="D88" s="16"/>
      <c r="E88" s="16"/>
      <c r="F88" s="16"/>
      <c r="G88" s="16"/>
      <c r="H88" s="16"/>
      <c r="I88" s="16"/>
      <c r="J88" s="16"/>
      <c r="K88" s="16"/>
      <c r="L88" s="16"/>
      <c r="M88" s="16"/>
    </row>
    <row r="89" spans="1:13" x14ac:dyDescent="0.25">
      <c r="A89" s="16"/>
      <c r="B89" s="16"/>
      <c r="C89" s="16"/>
      <c r="D89" s="16"/>
      <c r="E89" s="16"/>
      <c r="F89" s="16"/>
      <c r="G89" s="16"/>
      <c r="H89" s="16"/>
      <c r="I89" s="16"/>
      <c r="J89" s="16"/>
      <c r="K89" s="16"/>
      <c r="L89" s="16"/>
      <c r="M89" s="16"/>
    </row>
    <row r="90" spans="1:13" x14ac:dyDescent="0.25">
      <c r="A90" s="16"/>
      <c r="B90" s="16"/>
      <c r="C90" s="16"/>
      <c r="D90" s="16"/>
      <c r="E90" s="16"/>
      <c r="F90" s="16"/>
      <c r="G90" s="16"/>
      <c r="H90" s="16"/>
      <c r="I90" s="16"/>
      <c r="J90" s="16"/>
      <c r="K90" s="16"/>
      <c r="L90" s="16"/>
      <c r="M90" s="16"/>
    </row>
    <row r="91" spans="1:13" x14ac:dyDescent="0.25">
      <c r="A91" s="16"/>
      <c r="B91" s="16"/>
      <c r="C91" s="16"/>
      <c r="D91" s="16"/>
      <c r="E91" s="16"/>
      <c r="F91" s="16"/>
      <c r="G91" s="16"/>
      <c r="H91" s="16"/>
      <c r="I91" s="16"/>
      <c r="J91" s="16"/>
      <c r="K91" s="16"/>
      <c r="L91" s="16"/>
      <c r="M91" s="16"/>
    </row>
    <row r="92" spans="1:13" x14ac:dyDescent="0.25">
      <c r="A92" s="16"/>
      <c r="B92" s="16"/>
      <c r="C92" s="16"/>
      <c r="D92" s="16"/>
      <c r="E92" s="16"/>
      <c r="F92" s="16"/>
      <c r="G92" s="16"/>
      <c r="H92" s="16"/>
      <c r="I92" s="16"/>
      <c r="J92" s="16"/>
      <c r="K92" s="16"/>
      <c r="L92" s="16"/>
      <c r="M92" s="16"/>
    </row>
    <row r="93" spans="1:13" x14ac:dyDescent="0.25">
      <c r="A93" s="16"/>
      <c r="B93" s="16"/>
      <c r="C93" s="16"/>
      <c r="D93" s="16"/>
      <c r="E93" s="16"/>
      <c r="F93" s="16"/>
      <c r="G93" s="16"/>
      <c r="H93" s="16"/>
      <c r="I93" s="16"/>
      <c r="J93" s="16"/>
      <c r="K93" s="16"/>
      <c r="L93" s="16"/>
      <c r="M93" s="16"/>
    </row>
    <row r="94" spans="1:13" x14ac:dyDescent="0.25">
      <c r="A94" s="16"/>
      <c r="B94" s="16"/>
      <c r="C94" s="16"/>
      <c r="D94" s="16"/>
      <c r="E94" s="16"/>
      <c r="F94" s="16"/>
      <c r="G94" s="16"/>
      <c r="H94" s="16"/>
      <c r="I94" s="16"/>
      <c r="J94" s="16"/>
      <c r="K94" s="16"/>
      <c r="L94" s="16"/>
      <c r="M94" s="16"/>
    </row>
    <row r="95" spans="1:13" x14ac:dyDescent="0.25">
      <c r="A95" s="16"/>
      <c r="B95" s="16"/>
      <c r="C95" s="16"/>
      <c r="D95" s="16"/>
      <c r="E95" s="16"/>
      <c r="F95" s="16"/>
      <c r="G95" s="16"/>
      <c r="H95" s="16"/>
      <c r="I95" s="16"/>
      <c r="J95" s="16"/>
      <c r="K95" s="16"/>
      <c r="L95" s="16"/>
      <c r="M95" s="16"/>
    </row>
    <row r="96" spans="1:13" x14ac:dyDescent="0.25">
      <c r="A96" s="16"/>
      <c r="B96" s="16"/>
      <c r="C96" s="16"/>
      <c r="D96" s="16"/>
      <c r="E96" s="16"/>
      <c r="F96" s="16"/>
      <c r="G96" s="16"/>
      <c r="H96" s="16"/>
      <c r="I96" s="16"/>
      <c r="J96" s="16"/>
      <c r="K96" s="16"/>
      <c r="L96" s="16"/>
      <c r="M96" s="16"/>
    </row>
    <row r="97" spans="1:13" x14ac:dyDescent="0.25">
      <c r="A97" s="16"/>
      <c r="B97" s="16"/>
      <c r="C97" s="16"/>
      <c r="D97" s="16"/>
      <c r="E97" s="16"/>
      <c r="F97" s="16"/>
      <c r="G97" s="16"/>
      <c r="H97" s="16"/>
      <c r="I97" s="16"/>
      <c r="J97" s="16"/>
      <c r="K97" s="16"/>
      <c r="L97" s="16"/>
      <c r="M97" s="16"/>
    </row>
    <row r="98" spans="1:13" x14ac:dyDescent="0.25">
      <c r="A98" s="16"/>
      <c r="B98" s="16"/>
      <c r="C98" s="16"/>
      <c r="D98" s="16"/>
      <c r="E98" s="16"/>
      <c r="F98" s="16"/>
      <c r="G98" s="16"/>
      <c r="H98" s="16"/>
      <c r="I98" s="16"/>
      <c r="J98" s="16"/>
      <c r="K98" s="16"/>
      <c r="L98" s="16"/>
      <c r="M98" s="16"/>
    </row>
    <row r="99" spans="1:13" x14ac:dyDescent="0.25">
      <c r="A99" s="16"/>
      <c r="B99" s="16"/>
      <c r="C99" s="16"/>
      <c r="D99" s="16"/>
      <c r="E99" s="16"/>
      <c r="F99" s="16"/>
      <c r="G99" s="16"/>
      <c r="H99" s="16"/>
      <c r="I99" s="16"/>
      <c r="J99" s="16"/>
      <c r="K99" s="16"/>
      <c r="L99" s="16"/>
      <c r="M99" s="16"/>
    </row>
    <row r="100" spans="1:13" x14ac:dyDescent="0.25">
      <c r="A100" s="16"/>
      <c r="B100" s="16"/>
      <c r="C100" s="16"/>
      <c r="D100" s="16"/>
      <c r="E100" s="16"/>
      <c r="F100" s="16"/>
      <c r="G100" s="16"/>
      <c r="H100" s="16"/>
      <c r="I100" s="16"/>
      <c r="J100" s="16"/>
      <c r="K100" s="16"/>
      <c r="L100" s="16"/>
      <c r="M100" s="16"/>
    </row>
    <row r="101" spans="1:13" x14ac:dyDescent="0.25">
      <c r="A101" s="16"/>
      <c r="B101" s="16"/>
      <c r="C101" s="16"/>
      <c r="D101" s="16"/>
      <c r="E101" s="16"/>
      <c r="F101" s="16"/>
      <c r="G101" s="16"/>
      <c r="H101" s="16"/>
      <c r="I101" s="16"/>
      <c r="J101" s="16"/>
      <c r="K101" s="16"/>
      <c r="L101" s="16"/>
      <c r="M101" s="16"/>
    </row>
    <row r="102" spans="1:13" x14ac:dyDescent="0.25">
      <c r="A102" s="16"/>
      <c r="B102" s="16"/>
      <c r="C102" s="16"/>
      <c r="D102" s="16"/>
      <c r="E102" s="16"/>
      <c r="F102" s="16"/>
      <c r="G102" s="16"/>
      <c r="H102" s="16"/>
      <c r="I102" s="16"/>
      <c r="J102" s="16"/>
      <c r="K102" s="16"/>
      <c r="L102" s="16"/>
      <c r="M102" s="16"/>
    </row>
    <row r="103" spans="1:13" x14ac:dyDescent="0.25">
      <c r="A103" s="16"/>
      <c r="B103" s="16"/>
      <c r="C103" s="16"/>
      <c r="D103" s="16"/>
      <c r="E103" s="16"/>
      <c r="F103" s="16"/>
      <c r="G103" s="16"/>
      <c r="H103" s="16"/>
      <c r="I103" s="16"/>
      <c r="J103" s="16"/>
      <c r="K103" s="16"/>
      <c r="L103" s="16"/>
      <c r="M103" s="16"/>
    </row>
    <row r="104" spans="1:13" x14ac:dyDescent="0.25">
      <c r="A104" s="16"/>
      <c r="B104" s="16"/>
      <c r="C104" s="16"/>
      <c r="D104" s="16"/>
      <c r="E104" s="16"/>
      <c r="F104" s="16"/>
      <c r="G104" s="16"/>
      <c r="H104" s="16"/>
      <c r="I104" s="16"/>
      <c r="J104" s="16"/>
      <c r="K104" s="16"/>
      <c r="L104" s="16"/>
      <c r="M104" s="16"/>
    </row>
    <row r="105" spans="1:13" ht="38.25" customHeight="1" x14ac:dyDescent="0.25">
      <c r="A105" s="16"/>
      <c r="B105" s="16"/>
      <c r="C105" s="16"/>
      <c r="D105" s="16"/>
      <c r="E105" s="16"/>
      <c r="F105" s="16"/>
      <c r="G105" s="16"/>
      <c r="H105" s="16"/>
      <c r="I105" s="16"/>
      <c r="J105" s="16"/>
      <c r="K105" s="16"/>
      <c r="L105" s="16"/>
      <c r="M105" s="16"/>
    </row>
    <row r="106" spans="1:13" x14ac:dyDescent="0.25">
      <c r="A106" s="16"/>
      <c r="B106" s="16"/>
      <c r="C106" s="16"/>
      <c r="D106" s="16"/>
      <c r="E106" s="16"/>
      <c r="F106" s="16"/>
      <c r="G106" s="16"/>
      <c r="H106" s="16"/>
      <c r="I106" s="16"/>
      <c r="J106" s="16"/>
      <c r="K106" s="16"/>
      <c r="L106" s="16"/>
      <c r="M106" s="16"/>
    </row>
    <row r="107" spans="1:13" x14ac:dyDescent="0.25">
      <c r="A107" s="16"/>
      <c r="B107" s="16"/>
      <c r="C107" s="16"/>
      <c r="D107" s="16"/>
      <c r="E107" s="16"/>
      <c r="F107" s="16"/>
      <c r="G107" s="16"/>
      <c r="H107" s="16"/>
      <c r="I107" s="16"/>
      <c r="J107" s="16"/>
      <c r="K107" s="16"/>
      <c r="L107" s="16"/>
      <c r="M107" s="16"/>
    </row>
    <row r="108" spans="1:13" x14ac:dyDescent="0.25">
      <c r="A108" s="16"/>
      <c r="B108" s="16"/>
      <c r="C108" s="16"/>
      <c r="D108" s="16"/>
      <c r="E108" s="16"/>
      <c r="F108" s="16"/>
      <c r="G108" s="16"/>
      <c r="H108" s="16"/>
      <c r="I108" s="16"/>
      <c r="J108" s="16"/>
      <c r="K108" s="16"/>
      <c r="L108" s="16"/>
      <c r="M108" s="16"/>
    </row>
    <row r="109" spans="1:13" x14ac:dyDescent="0.25">
      <c r="A109" s="16"/>
      <c r="B109" s="16"/>
      <c r="C109" s="16"/>
      <c r="D109" s="16"/>
      <c r="E109" s="16"/>
      <c r="F109" s="16"/>
      <c r="G109" s="16"/>
      <c r="H109" s="16"/>
      <c r="I109" s="16"/>
      <c r="J109" s="16"/>
      <c r="K109" s="16"/>
      <c r="L109" s="16"/>
      <c r="M109" s="16"/>
    </row>
    <row r="110" spans="1:13" x14ac:dyDescent="0.25">
      <c r="A110" s="16"/>
      <c r="B110" s="16"/>
      <c r="C110" s="16"/>
      <c r="D110" s="16"/>
      <c r="E110" s="16"/>
      <c r="F110" s="16"/>
      <c r="G110" s="16"/>
      <c r="H110" s="16"/>
      <c r="I110" s="16"/>
      <c r="J110" s="16"/>
      <c r="K110" s="16"/>
      <c r="L110" s="16"/>
      <c r="M110" s="16"/>
    </row>
    <row r="111" spans="1:13" x14ac:dyDescent="0.25">
      <c r="A111" s="16"/>
      <c r="B111" s="353"/>
      <c r="C111" s="16"/>
      <c r="D111" s="16"/>
      <c r="E111" s="16"/>
      <c r="F111" s="16"/>
      <c r="G111" s="16"/>
      <c r="H111" s="16"/>
      <c r="I111" s="16"/>
      <c r="J111" s="16"/>
      <c r="K111" s="16"/>
      <c r="L111" s="16"/>
      <c r="M111" s="16"/>
    </row>
    <row r="112" spans="1:13" x14ac:dyDescent="0.25">
      <c r="A112" s="16"/>
      <c r="B112" s="16"/>
      <c r="C112" s="16"/>
      <c r="D112" s="16"/>
      <c r="E112" s="16"/>
      <c r="F112" s="16"/>
      <c r="G112" s="16"/>
      <c r="H112" s="16"/>
      <c r="I112" s="16"/>
      <c r="J112" s="16"/>
      <c r="K112" s="16"/>
      <c r="L112" s="16"/>
      <c r="M112" s="16"/>
    </row>
    <row r="113" spans="1:13" x14ac:dyDescent="0.25">
      <c r="A113" s="16"/>
      <c r="B113" s="16"/>
      <c r="C113" s="16"/>
      <c r="D113" s="16"/>
      <c r="E113" s="16"/>
      <c r="F113" s="16"/>
      <c r="G113" s="16"/>
      <c r="H113" s="16"/>
      <c r="I113" s="16"/>
      <c r="J113" s="16"/>
      <c r="K113" s="16"/>
      <c r="L113" s="16"/>
      <c r="M113" s="16"/>
    </row>
    <row r="114" spans="1:13" x14ac:dyDescent="0.25">
      <c r="A114" s="16"/>
      <c r="B114" s="16"/>
      <c r="C114" s="16"/>
      <c r="D114" s="16"/>
      <c r="E114" s="16"/>
      <c r="F114" s="16"/>
      <c r="G114" s="16"/>
      <c r="H114" s="16"/>
      <c r="I114" s="16"/>
      <c r="J114" s="16"/>
      <c r="K114" s="16"/>
      <c r="L114" s="16"/>
      <c r="M114" s="16"/>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80" firstPageNumber="478" fitToHeight="0" orientation="portrait" horizontalDpi="360" verticalDpi="360" r:id="rId1"/>
  <headerFooter scaleWithDoc="0">
    <oddFooter>&amp;C&amp;"Candara,Regular"&amp;10Page &amp;"Candara,Bold"&amp;P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126"/>
  <sheetViews>
    <sheetView view="pageBreakPreview" zoomScale="85" zoomScaleSheetLayoutView="85" workbookViewId="0">
      <pane xSplit="3" ySplit="2" topLeftCell="D45" activePane="bottomRight" state="frozen"/>
      <selection activeCell="H42" sqref="H42"/>
      <selection pane="topRight" activeCell="H42" sqref="H42"/>
      <selection pane="bottomLeft" activeCell="H42" sqref="H42"/>
      <selection pane="bottomRight" activeCell="I37" sqref="I37"/>
    </sheetView>
  </sheetViews>
  <sheetFormatPr defaultColWidth="9.140625" defaultRowHeight="21" x14ac:dyDescent="0.35"/>
  <cols>
    <col min="1" max="1" width="5" style="4" customWidth="1"/>
    <col min="2" max="2" width="32.5703125" style="5" customWidth="1"/>
    <col min="3" max="3" width="11" style="5" customWidth="1"/>
    <col min="4" max="7" width="20.7109375" style="5" customWidth="1"/>
    <col min="8" max="8" width="29" style="5" bestFit="1" customWidth="1"/>
    <col min="9" max="9" width="34.140625" customWidth="1"/>
    <col min="10" max="10" width="32.28515625" bestFit="1" customWidth="1"/>
    <col min="11" max="11" width="39.28515625" style="36" customWidth="1"/>
    <col min="12" max="12" width="26.28515625" style="36" customWidth="1"/>
    <col min="13" max="13" width="26.140625" style="36" bestFit="1" customWidth="1"/>
    <col min="14" max="14" width="32.42578125" style="36" customWidth="1"/>
    <col min="15" max="15" width="16.28515625" style="36" bestFit="1" customWidth="1"/>
    <col min="16" max="16" width="10.140625" style="36" bestFit="1" customWidth="1"/>
    <col min="17" max="17" width="16.28515625" bestFit="1" customWidth="1"/>
  </cols>
  <sheetData>
    <row r="1" spans="1:16" ht="46.5" x14ac:dyDescent="0.7">
      <c r="A1" s="1078" t="s">
        <v>510</v>
      </c>
      <c r="B1" s="1078"/>
      <c r="C1" s="1078"/>
      <c r="D1" s="1078"/>
      <c r="E1" s="1078"/>
      <c r="F1" s="1078"/>
      <c r="G1" s="1078"/>
      <c r="H1" s="1078"/>
      <c r="I1" s="36"/>
      <c r="K1"/>
      <c r="L1"/>
      <c r="M1"/>
      <c r="N1"/>
      <c r="O1"/>
      <c r="P1"/>
    </row>
    <row r="2" spans="1:16" x14ac:dyDescent="0.35">
      <c r="C2" s="4"/>
      <c r="D2"/>
      <c r="E2"/>
      <c r="F2"/>
      <c r="G2"/>
      <c r="H2"/>
      <c r="I2" s="36"/>
      <c r="K2"/>
      <c r="L2"/>
      <c r="M2"/>
      <c r="N2"/>
      <c r="O2"/>
      <c r="P2"/>
    </row>
    <row r="3" spans="1:16" s="6" customFormat="1" x14ac:dyDescent="0.3">
      <c r="A3" s="267"/>
      <c r="B3" s="268"/>
      <c r="C3" s="269"/>
      <c r="D3" s="270" t="s">
        <v>246</v>
      </c>
      <c r="E3" s="269" t="s">
        <v>247</v>
      </c>
      <c r="F3" s="270" t="s">
        <v>248</v>
      </c>
      <c r="G3" s="269" t="s">
        <v>295</v>
      </c>
      <c r="H3" s="270" t="s">
        <v>245</v>
      </c>
      <c r="I3" s="37"/>
    </row>
    <row r="4" spans="1:16" x14ac:dyDescent="0.35">
      <c r="A4" s="261">
        <v>1</v>
      </c>
      <c r="B4" s="262" t="s">
        <v>249</v>
      </c>
      <c r="C4" s="263">
        <f>CMO_PLATILLA_ITEMS</f>
        <v>17</v>
      </c>
      <c r="D4" s="264">
        <f>CMO_PS</f>
        <v>36338871.121999994</v>
      </c>
      <c r="E4" s="265">
        <f>CMO_MOOE</f>
        <v>57207023.6866</v>
      </c>
      <c r="F4" s="264">
        <f>CMO_CO</f>
        <v>0</v>
      </c>
      <c r="G4" s="265"/>
      <c r="H4" s="266">
        <f>SUM(D4:G4)</f>
        <v>93545894.808599994</v>
      </c>
      <c r="I4" s="38"/>
      <c r="K4"/>
      <c r="L4"/>
      <c r="M4"/>
      <c r="N4"/>
      <c r="O4"/>
      <c r="P4"/>
    </row>
    <row r="5" spans="1:16" ht="37.5" x14ac:dyDescent="0.35">
      <c r="A5" s="249">
        <f>A4+1</f>
        <v>2</v>
      </c>
      <c r="B5" s="251" t="s">
        <v>250</v>
      </c>
      <c r="C5" s="253"/>
      <c r="D5" s="256">
        <f>BAC_PS</f>
        <v>0</v>
      </c>
      <c r="E5" s="258">
        <f>BAC_MOOE</f>
        <v>91000</v>
      </c>
      <c r="F5" s="256">
        <f>'BAC-BAC'!G24</f>
        <v>0</v>
      </c>
      <c r="G5" s="258"/>
      <c r="H5" s="266">
        <f t="shared" ref="H5:H38" si="0">SUM(D5:G5)</f>
        <v>91000</v>
      </c>
      <c r="I5" s="38"/>
      <c r="K5"/>
      <c r="L5"/>
      <c r="M5"/>
      <c r="N5"/>
      <c r="O5"/>
      <c r="P5"/>
    </row>
    <row r="6" spans="1:16" ht="37.5" x14ac:dyDescent="0.35">
      <c r="A6" s="249">
        <f t="shared" ref="A6:A42" si="1">A5+1</f>
        <v>3</v>
      </c>
      <c r="B6" s="251" t="s">
        <v>251</v>
      </c>
      <c r="C6" s="253">
        <f>'1031-ADMIN'!ADMIN_PLATILLA_ITEMS</f>
        <v>6</v>
      </c>
      <c r="D6" s="256">
        <f>'1031-ADMIN'!ADMIN_PS</f>
        <v>3325351.9493333334</v>
      </c>
      <c r="E6" s="258">
        <f>'1031-ADMIN'!ADMIN_MOOE</f>
        <v>3306000</v>
      </c>
      <c r="F6" s="256">
        <f>'1031-ADMIN'!ADMIN_CO</f>
        <v>0</v>
      </c>
      <c r="G6" s="258"/>
      <c r="H6" s="266">
        <f t="shared" si="0"/>
        <v>6631351.9493333334</v>
      </c>
      <c r="I6" s="38"/>
      <c r="K6"/>
      <c r="L6"/>
      <c r="M6"/>
      <c r="N6"/>
      <c r="O6"/>
      <c r="P6"/>
    </row>
    <row r="7" spans="1:16" s="3" customFormat="1" ht="21" customHeight="1" x14ac:dyDescent="0.35">
      <c r="A7" s="250">
        <f t="shared" si="1"/>
        <v>4</v>
      </c>
      <c r="B7" s="252" t="s">
        <v>252</v>
      </c>
      <c r="C7" s="254">
        <f>CVMO_PLATILLA_ITEMS</f>
        <v>13</v>
      </c>
      <c r="D7" s="257">
        <f>CVMO_PS</f>
        <v>8187051.9760000007</v>
      </c>
      <c r="E7" s="259">
        <f>CVMO_MOOE</f>
        <v>14540000</v>
      </c>
      <c r="F7" s="257">
        <f>CVMO_CO</f>
        <v>2930000</v>
      </c>
      <c r="G7" s="259"/>
      <c r="H7" s="266">
        <f t="shared" si="0"/>
        <v>25657051.976</v>
      </c>
      <c r="I7" s="38"/>
    </row>
    <row r="8" spans="1:16" ht="37.5" customHeight="1" x14ac:dyDescent="0.35">
      <c r="A8" s="249">
        <f t="shared" si="1"/>
        <v>5</v>
      </c>
      <c r="B8" s="251" t="s">
        <v>253</v>
      </c>
      <c r="C8" s="253">
        <f>SP_PLATILLA_ITEMS</f>
        <v>28</v>
      </c>
      <c r="D8" s="256">
        <f>SP_PS</f>
        <v>40049273.400000006</v>
      </c>
      <c r="E8" s="258">
        <f>SP_MOOE</f>
        <v>41973792.969999999</v>
      </c>
      <c r="F8" s="256">
        <f>SP_CO</f>
        <v>0</v>
      </c>
      <c r="G8" s="258"/>
      <c r="H8" s="266">
        <f t="shared" si="0"/>
        <v>82023066.370000005</v>
      </c>
      <c r="I8" s="38" t="s">
        <v>572</v>
      </c>
      <c r="K8"/>
      <c r="L8"/>
      <c r="M8"/>
      <c r="N8"/>
      <c r="O8"/>
      <c r="P8"/>
    </row>
    <row r="9" spans="1:16" ht="37.5" customHeight="1" x14ac:dyDescent="0.35">
      <c r="A9" s="249">
        <f t="shared" si="1"/>
        <v>6</v>
      </c>
      <c r="B9" s="251" t="s">
        <v>254</v>
      </c>
      <c r="C9" s="253">
        <f>SECSP_PLATILLA_ITEMS</f>
        <v>38</v>
      </c>
      <c r="D9" s="256">
        <f>SECSP_PS</f>
        <v>17209102.296</v>
      </c>
      <c r="E9" s="258">
        <f>SECSP_MOOE</f>
        <v>2186000</v>
      </c>
      <c r="F9" s="256">
        <f>SECSP_CO</f>
        <v>553795.51</v>
      </c>
      <c r="G9" s="258"/>
      <c r="H9" s="266">
        <f t="shared" si="0"/>
        <v>19948897.806000002</v>
      </c>
      <c r="I9" s="38"/>
      <c r="K9"/>
      <c r="L9"/>
      <c r="M9"/>
      <c r="N9"/>
      <c r="O9"/>
      <c r="P9"/>
    </row>
    <row r="10" spans="1:16" ht="37.5" customHeight="1" x14ac:dyDescent="0.35">
      <c r="A10" s="249">
        <f t="shared" si="1"/>
        <v>7</v>
      </c>
      <c r="B10" s="251" t="s">
        <v>255</v>
      </c>
      <c r="C10" s="253">
        <f>CHRMO_PLATILLA_ITEMS</f>
        <v>11</v>
      </c>
      <c r="D10" s="256">
        <f>CHRMO_PS</f>
        <v>7361391.7920000004</v>
      </c>
      <c r="E10" s="258">
        <f>CHRMO_MOOE</f>
        <v>329120</v>
      </c>
      <c r="F10" s="256">
        <f>CHRMO_CO</f>
        <v>0</v>
      </c>
      <c r="G10" s="258"/>
      <c r="H10" s="266">
        <f t="shared" si="0"/>
        <v>7690511.7920000004</v>
      </c>
      <c r="I10" s="38"/>
      <c r="K10"/>
      <c r="L10"/>
      <c r="M10"/>
      <c r="N10"/>
      <c r="O10"/>
      <c r="P10"/>
    </row>
    <row r="11" spans="1:16" ht="37.5" customHeight="1" x14ac:dyDescent="0.35">
      <c r="A11" s="249">
        <f t="shared" si="1"/>
        <v>8</v>
      </c>
      <c r="B11" s="251" t="s">
        <v>256</v>
      </c>
      <c r="C11" s="253">
        <f>CPDO_PLATILLA_ITEMS</f>
        <v>10</v>
      </c>
      <c r="D11" s="256">
        <f>CPDO_PS</f>
        <v>8579156.4960000031</v>
      </c>
      <c r="E11" s="258">
        <f>CPDO_MOOE</f>
        <v>374000</v>
      </c>
      <c r="F11" s="256">
        <f>CPDO_CO</f>
        <v>0</v>
      </c>
      <c r="G11" s="258"/>
      <c r="H11" s="266">
        <f t="shared" si="0"/>
        <v>8953156.4960000031</v>
      </c>
      <c r="I11" s="38"/>
      <c r="K11"/>
      <c r="L11"/>
      <c r="M11"/>
      <c r="N11"/>
      <c r="O11"/>
      <c r="P11"/>
    </row>
    <row r="12" spans="1:16" ht="37.5" customHeight="1" x14ac:dyDescent="0.35">
      <c r="A12" s="249">
        <f t="shared" si="1"/>
        <v>9</v>
      </c>
      <c r="B12" s="251" t="s">
        <v>257</v>
      </c>
      <c r="C12" s="253">
        <f>ZONING_PLATILLA_ITEMS</f>
        <v>14</v>
      </c>
      <c r="D12" s="256">
        <f>ZONING_PS</f>
        <v>9656167.6319999993</v>
      </c>
      <c r="E12" s="258">
        <f>ZONING_MOOE</f>
        <v>67000</v>
      </c>
      <c r="F12" s="256">
        <f>ZONING_CO</f>
        <v>0</v>
      </c>
      <c r="G12" s="258"/>
      <c r="H12" s="266">
        <f t="shared" si="0"/>
        <v>9723167.6319999993</v>
      </c>
      <c r="I12" s="38"/>
      <c r="K12"/>
      <c r="L12"/>
      <c r="M12"/>
      <c r="N12"/>
      <c r="O12"/>
      <c r="P12"/>
    </row>
    <row r="13" spans="1:16" ht="37.5" customHeight="1" x14ac:dyDescent="0.35">
      <c r="A13" s="249">
        <f t="shared" si="1"/>
        <v>10</v>
      </c>
      <c r="B13" s="251" t="s">
        <v>258</v>
      </c>
      <c r="C13" s="253">
        <f>BAPAS_PLATILLA_ITEMS</f>
        <v>7</v>
      </c>
      <c r="D13" s="256">
        <f>BAPAS_PS</f>
        <v>4026550.8400000003</v>
      </c>
      <c r="E13" s="258">
        <f>BAPAS_MOOE</f>
        <v>388080</v>
      </c>
      <c r="F13" s="256">
        <f>BAPAS_CO</f>
        <v>0</v>
      </c>
      <c r="G13" s="258"/>
      <c r="H13" s="266">
        <f t="shared" si="0"/>
        <v>4414630.84</v>
      </c>
      <c r="I13" s="38"/>
      <c r="K13"/>
      <c r="L13"/>
      <c r="M13"/>
      <c r="N13"/>
      <c r="O13"/>
      <c r="P13"/>
    </row>
    <row r="14" spans="1:16" s="7" customFormat="1" ht="21" customHeight="1" x14ac:dyDescent="0.35">
      <c r="A14" s="249">
        <f t="shared" si="1"/>
        <v>11</v>
      </c>
      <c r="B14" s="251" t="s">
        <v>259</v>
      </c>
      <c r="C14" s="253">
        <f>CCRO_PLATILLA_ITEMS</f>
        <v>17</v>
      </c>
      <c r="D14" s="256">
        <f>CCRO_PS</f>
        <v>10221092.583999997</v>
      </c>
      <c r="E14" s="258">
        <f>CCRO_MOOE</f>
        <v>956160</v>
      </c>
      <c r="F14" s="256">
        <f>CCRO_CO</f>
        <v>0</v>
      </c>
      <c r="G14" s="258"/>
      <c r="H14" s="266">
        <f t="shared" si="0"/>
        <v>11177252.583999997</v>
      </c>
      <c r="I14" s="38"/>
    </row>
    <row r="15" spans="1:16" ht="37.5" customHeight="1" x14ac:dyDescent="0.35">
      <c r="A15" s="249">
        <f t="shared" si="1"/>
        <v>12</v>
      </c>
      <c r="B15" s="251" t="s">
        <v>260</v>
      </c>
      <c r="C15" s="253">
        <f>'1061-CGSO'!CGSO_PLATILLA_ITEMS</f>
        <v>23</v>
      </c>
      <c r="D15" s="256">
        <f>'1061-CGSO'!CGSO_PS</f>
        <v>10897243.696</v>
      </c>
      <c r="E15" s="258">
        <f>'1061-CGSO'!CGSO_MOOE</f>
        <v>55049400</v>
      </c>
      <c r="F15" s="256">
        <f>'1061-CGSO'!CGSO_CO</f>
        <v>20150000</v>
      </c>
      <c r="G15" s="258"/>
      <c r="H15" s="266">
        <f t="shared" si="0"/>
        <v>86096643.69600001</v>
      </c>
      <c r="I15" s="38"/>
      <c r="K15"/>
      <c r="L15"/>
      <c r="M15"/>
      <c r="N15"/>
      <c r="O15"/>
      <c r="P15"/>
    </row>
    <row r="16" spans="1:16" ht="37.5" customHeight="1" x14ac:dyDescent="0.35">
      <c r="A16" s="249">
        <f t="shared" si="1"/>
        <v>13</v>
      </c>
      <c r="B16" s="251" t="s">
        <v>261</v>
      </c>
      <c r="C16" s="253">
        <f>CBO_PLATILLA_ITEMS</f>
        <v>13</v>
      </c>
      <c r="D16" s="256">
        <f>CBO_PS</f>
        <v>9364369.1279999986</v>
      </c>
      <c r="E16" s="258">
        <f>CBO_MOOE</f>
        <v>367000</v>
      </c>
      <c r="F16" s="256">
        <f>CBO_CO</f>
        <v>0</v>
      </c>
      <c r="G16" s="258"/>
      <c r="H16" s="266">
        <f t="shared" si="0"/>
        <v>9731369.1279999986</v>
      </c>
      <c r="I16" s="38"/>
      <c r="K16"/>
      <c r="L16"/>
      <c r="M16"/>
      <c r="N16"/>
      <c r="O16"/>
      <c r="P16"/>
    </row>
    <row r="17" spans="1:16" ht="25.5" customHeight="1" x14ac:dyDescent="0.35">
      <c r="A17" s="249">
        <f t="shared" si="1"/>
        <v>14</v>
      </c>
      <c r="B17" s="251" t="s">
        <v>262</v>
      </c>
      <c r="C17" s="253">
        <f>ACTNG_PLATILLA_ITEMS</f>
        <v>28</v>
      </c>
      <c r="D17" s="256">
        <f>ACTNG_PS</f>
        <v>17779048.424000002</v>
      </c>
      <c r="E17" s="258">
        <f>ACTNG_MOOE</f>
        <v>682800</v>
      </c>
      <c r="F17" s="256">
        <f>ACTNG_CO</f>
        <v>0</v>
      </c>
      <c r="G17" s="258"/>
      <c r="H17" s="266">
        <f t="shared" si="0"/>
        <v>18461848.424000002</v>
      </c>
      <c r="I17" s="38"/>
      <c r="K17"/>
      <c r="L17"/>
      <c r="M17"/>
      <c r="N17"/>
      <c r="O17"/>
      <c r="P17"/>
    </row>
    <row r="18" spans="1:16" x14ac:dyDescent="0.35">
      <c r="A18" s="249">
        <f t="shared" si="1"/>
        <v>15</v>
      </c>
      <c r="B18" s="251" t="s">
        <v>263</v>
      </c>
      <c r="C18" s="253">
        <f>CTO_PLATILLA_ITEMS</f>
        <v>36</v>
      </c>
      <c r="D18" s="256">
        <f>CTO_PS</f>
        <v>22711556.112000007</v>
      </c>
      <c r="E18" s="258">
        <f>CTO_MOOE</f>
        <v>4515480</v>
      </c>
      <c r="F18" s="256">
        <f>CTO_CO</f>
        <v>0</v>
      </c>
      <c r="G18" s="258">
        <f>CTO_FE</f>
        <v>80000</v>
      </c>
      <c r="H18" s="266">
        <f t="shared" si="0"/>
        <v>27307036.112000007</v>
      </c>
      <c r="I18" s="38"/>
      <c r="K18"/>
      <c r="L18"/>
      <c r="M18"/>
      <c r="N18"/>
      <c r="O18"/>
      <c r="P18"/>
    </row>
    <row r="19" spans="1:16" s="7" customFormat="1" ht="37.5" x14ac:dyDescent="0.35">
      <c r="A19" s="249">
        <f t="shared" si="1"/>
        <v>16</v>
      </c>
      <c r="B19" s="251" t="s">
        <v>264</v>
      </c>
      <c r="C19" s="253">
        <f>PERMITS_PLATILLA_ITEMS</f>
        <v>6</v>
      </c>
      <c r="D19" s="256">
        <f>PERMITS_PS</f>
        <v>3451519.5759999999</v>
      </c>
      <c r="E19" s="258">
        <f>PERMITS_MOOE</f>
        <v>2583800</v>
      </c>
      <c r="F19" s="256">
        <f>PERMITS_CO</f>
        <v>0</v>
      </c>
      <c r="G19" s="258"/>
      <c r="H19" s="266">
        <f t="shared" si="0"/>
        <v>6035319.5759999994</v>
      </c>
      <c r="I19" s="38"/>
    </row>
    <row r="20" spans="1:16" x14ac:dyDescent="0.35">
      <c r="A20" s="249">
        <f t="shared" si="1"/>
        <v>17</v>
      </c>
      <c r="B20" s="251" t="s">
        <v>265</v>
      </c>
      <c r="C20" s="253">
        <f>ASSESSOR_PLATILLA_ITEMS</f>
        <v>21</v>
      </c>
      <c r="D20" s="256">
        <f>ASSESSOR_PS</f>
        <v>14150222.743999999</v>
      </c>
      <c r="E20" s="258">
        <f>ASSESSOR_MOOE</f>
        <v>1953720</v>
      </c>
      <c r="F20" s="256">
        <f>ASSESSOR_CO</f>
        <v>0</v>
      </c>
      <c r="G20" s="258"/>
      <c r="H20" s="266">
        <f t="shared" si="0"/>
        <v>16103942.743999999</v>
      </c>
      <c r="I20" s="38"/>
      <c r="K20"/>
      <c r="L20"/>
      <c r="M20"/>
      <c r="N20"/>
      <c r="O20"/>
      <c r="P20"/>
    </row>
    <row r="21" spans="1:16" ht="56.25" x14ac:dyDescent="0.35">
      <c r="A21" s="249">
        <f t="shared" si="1"/>
        <v>18</v>
      </c>
      <c r="B21" s="251" t="s">
        <v>266</v>
      </c>
      <c r="C21" s="255">
        <f>CSWDO_PLATILLA_ITEMS</f>
        <v>14</v>
      </c>
      <c r="D21" s="256">
        <f>CSWDO_PS</f>
        <v>9557474.7520000022</v>
      </c>
      <c r="E21" s="258">
        <f>CSWDO_MOOE</f>
        <v>234012000</v>
      </c>
      <c r="F21" s="256">
        <f>CSWDO_CO</f>
        <v>0</v>
      </c>
      <c r="G21" s="258"/>
      <c r="H21" s="266">
        <f t="shared" si="0"/>
        <v>243569474.752</v>
      </c>
      <c r="I21" s="38"/>
      <c r="K21"/>
      <c r="L21"/>
      <c r="M21"/>
      <c r="N21"/>
      <c r="O21"/>
      <c r="P21"/>
    </row>
    <row r="22" spans="1:16" ht="21" customHeight="1" x14ac:dyDescent="0.35">
      <c r="A22" s="249">
        <f t="shared" si="1"/>
        <v>19</v>
      </c>
      <c r="B22" s="289" t="s">
        <v>267</v>
      </c>
      <c r="C22" s="253">
        <f>AGRI_PLATILLA_ITEMS</f>
        <v>25</v>
      </c>
      <c r="D22" s="257">
        <f>AGRI_PS</f>
        <v>15651123.063999997</v>
      </c>
      <c r="E22" s="258">
        <f>AGRI_MOOE</f>
        <v>3871000</v>
      </c>
      <c r="F22" s="256">
        <f>AGRI_CO</f>
        <v>3500000</v>
      </c>
      <c r="G22" s="258"/>
      <c r="H22" s="266">
        <f t="shared" si="0"/>
        <v>23022123.063999996</v>
      </c>
      <c r="I22" s="38"/>
      <c r="K22"/>
      <c r="L22"/>
      <c r="M22"/>
      <c r="N22"/>
      <c r="O22"/>
      <c r="P22"/>
    </row>
    <row r="23" spans="1:16" ht="21" customHeight="1" x14ac:dyDescent="0.35">
      <c r="A23" s="249">
        <f t="shared" si="1"/>
        <v>20</v>
      </c>
      <c r="B23" s="289" t="s">
        <v>268</v>
      </c>
      <c r="C23" s="253">
        <f>VET_PLATILLA_ITEMS</f>
        <v>8</v>
      </c>
      <c r="D23" s="256">
        <f>VET_PS</f>
        <v>6528273.311999999</v>
      </c>
      <c r="E23" s="258">
        <f>VET_MOOE</f>
        <v>4501680</v>
      </c>
      <c r="F23" s="256">
        <f>VET_CO</f>
        <v>0</v>
      </c>
      <c r="G23" s="258"/>
      <c r="H23" s="266">
        <f t="shared" si="0"/>
        <v>11029953.311999999</v>
      </c>
      <c r="I23" s="38"/>
      <c r="K23"/>
      <c r="L23"/>
      <c r="M23"/>
      <c r="N23"/>
      <c r="O23"/>
      <c r="P23"/>
    </row>
    <row r="24" spans="1:16" x14ac:dyDescent="0.35">
      <c r="A24" s="249">
        <f t="shared" si="1"/>
        <v>21</v>
      </c>
      <c r="B24" s="251" t="s">
        <v>269</v>
      </c>
      <c r="C24" s="253">
        <f>ENGINEER_PLATILLA_ITEMS</f>
        <v>44</v>
      </c>
      <c r="D24" s="256">
        <f>ENGINEER_PS</f>
        <v>22997133.320000004</v>
      </c>
      <c r="E24" s="258">
        <f>ENGINEER_MOOE</f>
        <v>23816800</v>
      </c>
      <c r="F24" s="256">
        <f>ENGINEER_CO</f>
        <v>20000000</v>
      </c>
      <c r="G24" s="258"/>
      <c r="H24" s="266">
        <f t="shared" si="0"/>
        <v>66813933.320000008</v>
      </c>
      <c r="I24" s="38"/>
      <c r="K24"/>
      <c r="L24"/>
      <c r="M24"/>
      <c r="N24"/>
      <c r="O24"/>
      <c r="P24"/>
    </row>
    <row r="25" spans="1:16" x14ac:dyDescent="0.35">
      <c r="A25" s="249">
        <f t="shared" si="1"/>
        <v>22</v>
      </c>
      <c r="B25" s="251" t="s">
        <v>270</v>
      </c>
      <c r="C25" s="253">
        <f>'8811-MARKET'!MARKET_PLATILLA_ITEMS</f>
        <v>4</v>
      </c>
      <c r="D25" s="256">
        <f>'8811-MARKET'!MARKET_PS</f>
        <v>2199922.9840000002</v>
      </c>
      <c r="E25" s="258">
        <f>'8811-MARKET'!MARKET_MOOE</f>
        <v>5770240</v>
      </c>
      <c r="F25" s="256">
        <f>'8811-MARKET'!MARKET_CO</f>
        <v>0</v>
      </c>
      <c r="G25" s="258"/>
      <c r="H25" s="266">
        <f t="shared" si="0"/>
        <v>7970162.9840000002</v>
      </c>
      <c r="I25" s="38"/>
      <c r="K25"/>
      <c r="L25"/>
      <c r="M25"/>
      <c r="N25"/>
      <c r="O25"/>
      <c r="P25"/>
    </row>
    <row r="26" spans="1:16" ht="37.5" customHeight="1" x14ac:dyDescent="0.35">
      <c r="A26" s="249">
        <f t="shared" si="1"/>
        <v>23</v>
      </c>
      <c r="B26" s="251" t="s">
        <v>271</v>
      </c>
      <c r="C26" s="253">
        <f>CSU_PLATILLA_ITEMS</f>
        <v>12</v>
      </c>
      <c r="D26" s="256">
        <f>CSU_PS</f>
        <v>4739022.5199999996</v>
      </c>
      <c r="E26" s="258">
        <f>CSU_MOOE</f>
        <v>1336000</v>
      </c>
      <c r="F26" s="256">
        <f>CSU_CO</f>
        <v>0</v>
      </c>
      <c r="G26" s="258"/>
      <c r="H26" s="266">
        <f t="shared" si="0"/>
        <v>6075022.5199999996</v>
      </c>
      <c r="I26" s="38"/>
      <c r="K26"/>
      <c r="L26"/>
      <c r="M26"/>
      <c r="N26"/>
      <c r="O26"/>
      <c r="P26"/>
    </row>
    <row r="27" spans="1:16" ht="37.5" customHeight="1" x14ac:dyDescent="0.35">
      <c r="A27" s="249">
        <f t="shared" si="1"/>
        <v>24</v>
      </c>
      <c r="B27" s="251" t="s">
        <v>272</v>
      </c>
      <c r="C27" s="253">
        <f>CENRO_PLATILLA_ITEMS</f>
        <v>7</v>
      </c>
      <c r="D27" s="256">
        <f>CENRO_PS</f>
        <v>4968702.352</v>
      </c>
      <c r="E27" s="258">
        <f>CENRO_MOOE</f>
        <v>99000</v>
      </c>
      <c r="F27" s="256">
        <f>CENRO_CO</f>
        <v>0</v>
      </c>
      <c r="G27" s="258"/>
      <c r="H27" s="266">
        <f t="shared" si="0"/>
        <v>5067702.352</v>
      </c>
      <c r="I27" s="38"/>
      <c r="K27"/>
      <c r="L27"/>
      <c r="M27"/>
      <c r="N27"/>
      <c r="O27"/>
      <c r="P27"/>
    </row>
    <row r="28" spans="1:16" s="7" customFormat="1" ht="37.5" x14ac:dyDescent="0.35">
      <c r="A28" s="249">
        <f t="shared" si="1"/>
        <v>25</v>
      </c>
      <c r="B28" s="251" t="s">
        <v>273</v>
      </c>
      <c r="C28" s="253">
        <f>'4411-CHO'!CHO_PLATILLA_ITEMS</f>
        <v>78</v>
      </c>
      <c r="D28" s="256">
        <f>'4411-CHO'!CHO_PS</f>
        <v>65463574.799999997</v>
      </c>
      <c r="E28" s="258">
        <f>'4411-CHO'!CHO_MOOE</f>
        <v>34736640</v>
      </c>
      <c r="F28" s="256">
        <f>'4411-CHO'!CHO_CO</f>
        <v>0</v>
      </c>
      <c r="G28" s="258"/>
      <c r="H28" s="266">
        <f t="shared" si="0"/>
        <v>100200214.8</v>
      </c>
      <c r="I28" s="38"/>
    </row>
    <row r="29" spans="1:16" ht="21" customHeight="1" x14ac:dyDescent="0.35">
      <c r="A29" s="249">
        <f t="shared" si="1"/>
        <v>26</v>
      </c>
      <c r="B29" s="251" t="s">
        <v>274</v>
      </c>
      <c r="C29" s="253">
        <f>LEGAL_PLATILLA_ITEMS</f>
        <v>2</v>
      </c>
      <c r="D29" s="256">
        <f>LEGAL_PS</f>
        <v>2151495.9280000003</v>
      </c>
      <c r="E29" s="258">
        <f>LEGAL_MOOE</f>
        <v>529200</v>
      </c>
      <c r="F29" s="256">
        <f>LEGAL_CO</f>
        <v>0</v>
      </c>
      <c r="G29" s="258"/>
      <c r="H29" s="266">
        <f t="shared" si="0"/>
        <v>2680695.9280000003</v>
      </c>
      <c r="I29" s="38"/>
      <c r="K29"/>
      <c r="L29"/>
      <c r="M29"/>
      <c r="N29"/>
      <c r="O29"/>
      <c r="P29"/>
    </row>
    <row r="30" spans="1:16" ht="37.5" x14ac:dyDescent="0.35">
      <c r="A30" s="249">
        <f t="shared" si="1"/>
        <v>27</v>
      </c>
      <c r="B30" s="251" t="s">
        <v>275</v>
      </c>
      <c r="C30" s="253">
        <f>CPIO_PLATILLA_ITEMS</f>
        <v>2</v>
      </c>
      <c r="D30" s="256">
        <f>CPIO_PS</f>
        <v>971797.64800000004</v>
      </c>
      <c r="E30" s="258">
        <f>CPIO_MOOE</f>
        <v>1953800</v>
      </c>
      <c r="F30" s="256">
        <f>CPIO_CO</f>
        <v>0</v>
      </c>
      <c r="G30" s="258"/>
      <c r="H30" s="266">
        <f t="shared" si="0"/>
        <v>2925597.648</v>
      </c>
      <c r="I30" s="38"/>
      <c r="K30"/>
      <c r="L30"/>
      <c r="M30"/>
      <c r="N30"/>
      <c r="O30"/>
      <c r="P30"/>
    </row>
    <row r="31" spans="1:16" s="7" customFormat="1" ht="56.25" x14ac:dyDescent="0.35">
      <c r="A31" s="249">
        <f t="shared" si="1"/>
        <v>28</v>
      </c>
      <c r="B31" s="251" t="s">
        <v>276</v>
      </c>
      <c r="C31" s="253">
        <f>'CDRRMO-CDRRMO'!CDRRMO_PLATILLA_ITEMS</f>
        <v>7</v>
      </c>
      <c r="D31" s="256">
        <f>'CDRRMO-CDRRMO'!CDRRMO_PS</f>
        <v>5875443.8960000016</v>
      </c>
      <c r="E31" s="258">
        <f>'CDRRMO-CDRRMO'!CDRRMO_MOOE</f>
        <v>5174120</v>
      </c>
      <c r="F31" s="256">
        <f>'CDRRMO-CDRRMO'!CDRRMO_CO</f>
        <v>0</v>
      </c>
      <c r="G31" s="258"/>
      <c r="H31" s="266">
        <f t="shared" si="0"/>
        <v>11049563.896000002</v>
      </c>
      <c r="I31" s="38"/>
    </row>
    <row r="32" spans="1:16" ht="37.5" x14ac:dyDescent="0.35">
      <c r="A32" s="249">
        <f t="shared" si="1"/>
        <v>29</v>
      </c>
      <c r="B32" s="251" t="s">
        <v>277</v>
      </c>
      <c r="C32" s="253"/>
      <c r="D32" s="256">
        <f>'TRAFFIC-TRAFFIC'!G11</f>
        <v>0</v>
      </c>
      <c r="E32" s="258">
        <f>TRAFFIC_MOOE</f>
        <v>6021000</v>
      </c>
      <c r="F32" s="256">
        <f>TRAFFIC_CO</f>
        <v>0</v>
      </c>
      <c r="G32" s="258"/>
      <c r="H32" s="266">
        <f t="shared" si="0"/>
        <v>6021000</v>
      </c>
      <c r="I32" s="38"/>
      <c r="K32"/>
      <c r="L32"/>
      <c r="M32"/>
      <c r="N32"/>
      <c r="O32"/>
      <c r="P32"/>
    </row>
    <row r="33" spans="1:16" ht="37.5" x14ac:dyDescent="0.35">
      <c r="A33" s="249">
        <f t="shared" si="1"/>
        <v>30</v>
      </c>
      <c r="B33" s="251" t="s">
        <v>278</v>
      </c>
      <c r="C33" s="253">
        <f>SOLIDWASTE_PLATILLA_ITEMS</f>
        <v>2</v>
      </c>
      <c r="D33" s="256">
        <f>SOLIDWASTE_PS</f>
        <v>638496.728</v>
      </c>
      <c r="E33" s="258">
        <f>SOLIDWASTE_MOOE</f>
        <v>0</v>
      </c>
      <c r="F33" s="256">
        <f>SOLIDWASTE_CO</f>
        <v>0</v>
      </c>
      <c r="G33" s="258"/>
      <c r="H33" s="266">
        <f t="shared" si="0"/>
        <v>638496.728</v>
      </c>
      <c r="I33" s="38"/>
      <c r="K33"/>
      <c r="L33"/>
      <c r="M33"/>
      <c r="N33"/>
      <c r="O33"/>
      <c r="P33"/>
    </row>
    <row r="34" spans="1:16" ht="37.5" x14ac:dyDescent="0.35">
      <c r="A34" s="249">
        <f t="shared" si="1"/>
        <v>31</v>
      </c>
      <c r="B34" s="251" t="s">
        <v>279</v>
      </c>
      <c r="C34" s="253">
        <f>IAS_PLATILLA_ITEMS</f>
        <v>1</v>
      </c>
      <c r="D34" s="256">
        <f>IAS_PS</f>
        <v>1176879.1840000001</v>
      </c>
      <c r="E34" s="258">
        <f>IAS_MOOE</f>
        <v>0</v>
      </c>
      <c r="F34" s="256">
        <f>IAS_CO</f>
        <v>0</v>
      </c>
      <c r="G34" s="258"/>
      <c r="H34" s="266">
        <f t="shared" si="0"/>
        <v>1176879.1840000001</v>
      </c>
      <c r="I34" s="38"/>
      <c r="K34"/>
      <c r="L34"/>
      <c r="M34"/>
      <c r="N34"/>
      <c r="O34"/>
      <c r="P34"/>
    </row>
    <row r="35" spans="1:16" ht="56.25" x14ac:dyDescent="0.35">
      <c r="A35" s="249">
        <v>32</v>
      </c>
      <c r="B35" s="251" t="s">
        <v>408</v>
      </c>
      <c r="C35" s="253">
        <f>CTFRO_PLATILLA_ITEMS</f>
        <v>2</v>
      </c>
      <c r="D35" s="256">
        <f>CTFRO_PS</f>
        <v>3196671.8959999997</v>
      </c>
      <c r="E35" s="258">
        <f>CTFRO_MOOE</f>
        <v>538800</v>
      </c>
      <c r="F35" s="256">
        <f>CTFRO_CO</f>
        <v>0</v>
      </c>
      <c r="G35" s="258"/>
      <c r="H35" s="266">
        <f t="shared" si="0"/>
        <v>3735471.8959999997</v>
      </c>
      <c r="I35" s="38"/>
      <c r="K35"/>
      <c r="L35"/>
      <c r="M35"/>
      <c r="N35"/>
      <c r="O35"/>
      <c r="P35"/>
    </row>
    <row r="36" spans="1:16" ht="37.5" x14ac:dyDescent="0.35">
      <c r="A36" s="249">
        <v>33</v>
      </c>
      <c r="B36" s="251" t="s">
        <v>410</v>
      </c>
      <c r="C36" s="253">
        <f>PESO_PLATILLA_ITEMS</f>
        <v>1</v>
      </c>
      <c r="D36" s="256">
        <f>PESO_PS</f>
        <v>1796321.656</v>
      </c>
      <c r="E36" s="258">
        <f>PESO_MOOE</f>
        <v>64000</v>
      </c>
      <c r="F36" s="256">
        <f>PESO_CO</f>
        <v>0</v>
      </c>
      <c r="G36" s="258"/>
      <c r="H36" s="266">
        <f t="shared" si="0"/>
        <v>1860321.656</v>
      </c>
      <c r="I36" s="38"/>
      <c r="K36"/>
      <c r="L36"/>
      <c r="M36"/>
      <c r="N36"/>
      <c r="O36"/>
      <c r="P36"/>
    </row>
    <row r="37" spans="1:16" x14ac:dyDescent="0.35">
      <c r="A37" s="249">
        <v>34</v>
      </c>
      <c r="B37" s="251" t="s">
        <v>409</v>
      </c>
      <c r="C37" s="253">
        <f>TOURISM_PLATILLA_ITEMS</f>
        <v>3</v>
      </c>
      <c r="D37" s="256">
        <f>TOURISM_PS</f>
        <v>2456238.5440000002</v>
      </c>
      <c r="E37" s="258">
        <f>TOURISM_MOOE</f>
        <v>462200</v>
      </c>
      <c r="F37" s="256">
        <f>TOURISM_CO</f>
        <v>50000</v>
      </c>
      <c r="G37" s="258"/>
      <c r="H37" s="266">
        <f t="shared" si="0"/>
        <v>2968438.5440000002</v>
      </c>
      <c r="I37" s="38"/>
      <c r="K37"/>
      <c r="L37"/>
      <c r="M37"/>
      <c r="N37"/>
      <c r="O37"/>
      <c r="P37"/>
    </row>
    <row r="38" spans="1:16" ht="37.5" x14ac:dyDescent="0.35">
      <c r="A38" s="249">
        <v>35</v>
      </c>
      <c r="B38" s="251" t="s">
        <v>508</v>
      </c>
      <c r="C38" s="253">
        <f>CDO_PLATILLA_ITEMS</f>
        <v>1</v>
      </c>
      <c r="D38" s="256">
        <f>CDO_PS</f>
        <v>1796321.656</v>
      </c>
      <c r="E38" s="258">
        <f>CDO_MOOE</f>
        <v>349400</v>
      </c>
      <c r="F38" s="256">
        <f>CDO_CO</f>
        <v>0</v>
      </c>
      <c r="G38" s="258"/>
      <c r="H38" s="266">
        <f t="shared" si="0"/>
        <v>2145721.656</v>
      </c>
      <c r="I38" s="38" t="e">
        <f>SUM(H39+H40+H41+H42+G43+F43+E43+D43)</f>
        <v>#REF!</v>
      </c>
      <c r="K38"/>
      <c r="L38"/>
      <c r="M38"/>
      <c r="N38"/>
      <c r="O38"/>
      <c r="P38"/>
    </row>
    <row r="39" spans="1:16" ht="56.25" x14ac:dyDescent="0.35">
      <c r="A39" s="249">
        <v>36</v>
      </c>
      <c r="B39" s="251" t="s">
        <v>280</v>
      </c>
      <c r="C39" s="253"/>
      <c r="D39" s="256"/>
      <c r="E39" s="258"/>
      <c r="F39" s="256"/>
      <c r="G39" s="258"/>
      <c r="H39" s="308" t="e">
        <f>CMO_SPPA_TOTAL</f>
        <v>#REF!</v>
      </c>
      <c r="I39" s="38">
        <v>307387934.07999998</v>
      </c>
      <c r="J39" s="1">
        <v>22000000</v>
      </c>
      <c r="K39" s="310">
        <f>+J39+I39</f>
        <v>329387934.07999998</v>
      </c>
      <c r="L39"/>
      <c r="M39"/>
      <c r="N39"/>
      <c r="O39"/>
      <c r="P39"/>
    </row>
    <row r="40" spans="1:16" ht="21" customHeight="1" x14ac:dyDescent="0.35">
      <c r="A40" s="249">
        <v>37</v>
      </c>
      <c r="B40" s="251" t="s">
        <v>281</v>
      </c>
      <c r="C40" s="253"/>
      <c r="D40" s="256"/>
      <c r="E40" s="258"/>
      <c r="F40" s="256"/>
      <c r="G40" s="258"/>
      <c r="H40" s="260">
        <v>8568638.7200000007</v>
      </c>
      <c r="I40" s="38"/>
      <c r="J40">
        <v>22000000</v>
      </c>
      <c r="K40"/>
      <c r="L40"/>
      <c r="M40"/>
      <c r="N40"/>
      <c r="O40"/>
      <c r="P40"/>
    </row>
    <row r="41" spans="1:16" x14ac:dyDescent="0.35">
      <c r="A41" s="249">
        <v>38</v>
      </c>
      <c r="B41" s="251" t="s">
        <v>229</v>
      </c>
      <c r="C41" s="253"/>
      <c r="D41" s="256"/>
      <c r="E41" s="258"/>
      <c r="F41" s="256"/>
      <c r="G41" s="258"/>
      <c r="H41" s="260">
        <v>176500000</v>
      </c>
      <c r="I41" s="304">
        <f>3520000+5048638.72</f>
        <v>8568638.7199999988</v>
      </c>
      <c r="J41" s="1">
        <f>SUM(J39:J40)</f>
        <v>44000000</v>
      </c>
      <c r="K41"/>
      <c r="L41"/>
      <c r="M41"/>
      <c r="N41"/>
      <c r="O41"/>
      <c r="P41"/>
    </row>
    <row r="42" spans="1:16" x14ac:dyDescent="0.35">
      <c r="A42" s="271">
        <f t="shared" si="1"/>
        <v>39</v>
      </c>
      <c r="B42" s="272" t="s">
        <v>230</v>
      </c>
      <c r="C42" s="273"/>
      <c r="D42" s="274"/>
      <c r="E42" s="275"/>
      <c r="F42" s="274"/>
      <c r="G42" s="275"/>
      <c r="H42" s="276">
        <f>+I42*0.05</f>
        <v>59944045.169500008</v>
      </c>
      <c r="I42" s="69">
        <v>1198880903.3900001</v>
      </c>
      <c r="J42">
        <v>1486715159.3</v>
      </c>
      <c r="K42"/>
      <c r="L42"/>
      <c r="M42"/>
      <c r="N42"/>
      <c r="O42"/>
      <c r="P42"/>
    </row>
    <row r="43" spans="1:16" s="8" customFormat="1" x14ac:dyDescent="0.35">
      <c r="A43" s="267"/>
      <c r="B43" s="277"/>
      <c r="C43" s="278">
        <f t="shared" ref="C43:G43" si="2">SUM(C4:C42)</f>
        <v>501</v>
      </c>
      <c r="D43" s="296">
        <f t="shared" si="2"/>
        <v>375472864.00733346</v>
      </c>
      <c r="E43" s="296">
        <f t="shared" si="2"/>
        <v>509806256.6566</v>
      </c>
      <c r="F43" s="296">
        <f t="shared" si="2"/>
        <v>47183795.509999998</v>
      </c>
      <c r="G43" s="296">
        <f t="shared" si="2"/>
        <v>80000</v>
      </c>
      <c r="H43" s="296" t="e">
        <f>SUM(H4:H42)</f>
        <v>#REF!</v>
      </c>
      <c r="I43" s="67" t="e">
        <f>I42-H43</f>
        <v>#REF!</v>
      </c>
    </row>
    <row r="44" spans="1:16" ht="27" x14ac:dyDescent="0.45">
      <c r="A44" s="22"/>
      <c r="B44" s="23"/>
      <c r="C44" s="4"/>
      <c r="D44" s="33"/>
      <c r="E44" s="33"/>
      <c r="F44" s="33"/>
      <c r="G44" s="33"/>
      <c r="H44" s="233"/>
      <c r="I44" s="38" t="e">
        <f>H43-I42</f>
        <v>#REF!</v>
      </c>
      <c r="J44" s="2">
        <v>1203055906.1800001</v>
      </c>
      <c r="K44"/>
      <c r="L44"/>
      <c r="M44"/>
      <c r="N44"/>
      <c r="O44"/>
      <c r="P44"/>
    </row>
    <row r="45" spans="1:16" s="14" customFormat="1" ht="23.25" x14ac:dyDescent="0.35">
      <c r="A45" s="24" t="s">
        <v>282</v>
      </c>
      <c r="B45" s="25"/>
      <c r="C45" s="26"/>
      <c r="D45" s="24"/>
      <c r="E45" s="24" t="s">
        <v>283</v>
      </c>
      <c r="F45" s="27"/>
      <c r="G45" s="9" t="s">
        <v>593</v>
      </c>
      <c r="H45" s="311">
        <v>1198880903.3900001</v>
      </c>
      <c r="I45" s="309">
        <v>1182495177</v>
      </c>
      <c r="J45" s="11">
        <f>+J44-H42</f>
        <v>1143111861.0105</v>
      </c>
      <c r="K45" s="10"/>
      <c r="L45" s="11"/>
      <c r="M45" s="12">
        <v>775769391.83000004</v>
      </c>
      <c r="N45" s="13"/>
    </row>
    <row r="46" spans="1:16" s="14" customFormat="1" ht="35.25" customHeight="1" x14ac:dyDescent="0.35">
      <c r="A46" s="24"/>
      <c r="B46" s="25"/>
      <c r="C46" s="25"/>
      <c r="D46" s="24"/>
      <c r="E46" s="24"/>
      <c r="F46" s="27"/>
      <c r="G46" s="312" t="s">
        <v>560</v>
      </c>
      <c r="H46" s="313"/>
      <c r="I46" s="39">
        <v>1198880903.3900001</v>
      </c>
      <c r="J46" s="11"/>
      <c r="K46" s="10"/>
      <c r="L46" s="11"/>
      <c r="M46" s="12"/>
      <c r="N46" s="13"/>
    </row>
    <row r="47" spans="1:16" s="14" customFormat="1" ht="23.25" x14ac:dyDescent="0.35">
      <c r="A47" s="28" t="s">
        <v>284</v>
      </c>
      <c r="B47" s="29"/>
      <c r="C47" s="30"/>
      <c r="D47" s="25"/>
      <c r="E47" s="29" t="s">
        <v>446</v>
      </c>
      <c r="F47" s="24"/>
      <c r="G47" s="15"/>
      <c r="H47" s="34"/>
      <c r="I47" s="39">
        <f>+I46-I45</f>
        <v>16385726.390000105</v>
      </c>
      <c r="J47" s="11"/>
      <c r="K47" s="10"/>
      <c r="L47" s="11" t="s">
        <v>285</v>
      </c>
      <c r="M47" s="12"/>
      <c r="N47" s="13"/>
    </row>
    <row r="48" spans="1:16" s="14" customFormat="1" ht="23.25" x14ac:dyDescent="0.35">
      <c r="A48" s="31" t="s">
        <v>431</v>
      </c>
      <c r="B48" s="29"/>
      <c r="C48" s="30"/>
      <c r="D48" s="24"/>
      <c r="E48" s="24" t="s">
        <v>286</v>
      </c>
      <c r="F48" s="32"/>
      <c r="G48" s="15"/>
      <c r="H48" s="35"/>
      <c r="I48" s="40"/>
      <c r="J48" s="11"/>
      <c r="K48" s="11"/>
      <c r="L48" s="11" t="s">
        <v>287</v>
      </c>
      <c r="M48" s="12"/>
      <c r="N48" s="13"/>
    </row>
    <row r="49" spans="1:16" s="14" customFormat="1" x14ac:dyDescent="0.35">
      <c r="A49" s="16"/>
      <c r="B49" s="10"/>
      <c r="C49" s="17"/>
      <c r="D49" s="18"/>
      <c r="E49" s="10"/>
      <c r="F49" s="11"/>
      <c r="G49" s="11"/>
      <c r="H49" s="11"/>
      <c r="I49" s="40">
        <v>1202495177</v>
      </c>
      <c r="J49" s="19">
        <f>+I49*0.05</f>
        <v>60124758.850000001</v>
      </c>
      <c r="K49" s="11"/>
      <c r="L49" s="19" t="s">
        <v>288</v>
      </c>
      <c r="M49" s="12"/>
      <c r="N49" s="13"/>
    </row>
    <row r="50" spans="1:16" x14ac:dyDescent="0.35">
      <c r="C50" s="4"/>
      <c r="D50"/>
      <c r="E50"/>
      <c r="F50"/>
      <c r="G50"/>
      <c r="H50"/>
      <c r="I50" s="36"/>
      <c r="K50"/>
      <c r="L50"/>
      <c r="M50"/>
      <c r="N50"/>
      <c r="O50"/>
      <c r="P50"/>
    </row>
    <row r="51" spans="1:16" x14ac:dyDescent="0.35">
      <c r="C51" s="4"/>
      <c r="D51"/>
      <c r="E51"/>
      <c r="F51"/>
      <c r="G51"/>
      <c r="H51"/>
      <c r="I51" s="304">
        <v>1202495177</v>
      </c>
      <c r="J51" s="2">
        <v>1202323105.25</v>
      </c>
      <c r="K51"/>
      <c r="L51"/>
      <c r="M51"/>
      <c r="N51"/>
      <c r="O51"/>
      <c r="P51"/>
    </row>
    <row r="52" spans="1:16" x14ac:dyDescent="0.35">
      <c r="A52" s="241"/>
      <c r="B52" s="242" t="s">
        <v>558</v>
      </c>
      <c r="C52" s="4"/>
      <c r="D52" s="20"/>
      <c r="E52" s="20"/>
      <c r="F52"/>
      <c r="G52"/>
      <c r="H52"/>
      <c r="I52" s="304">
        <f>+I51*0.05</f>
        <v>60124758.850000001</v>
      </c>
      <c r="J52" s="2">
        <v>1198880903.3900001</v>
      </c>
      <c r="K52"/>
      <c r="L52"/>
      <c r="M52"/>
      <c r="N52"/>
      <c r="O52"/>
      <c r="P52"/>
    </row>
    <row r="53" spans="1:16" ht="31.5" x14ac:dyDescent="0.35">
      <c r="A53" s="241"/>
      <c r="B53" s="243" t="s">
        <v>297</v>
      </c>
      <c r="C53" s="244"/>
      <c r="D53" s="245">
        <v>42391000</v>
      </c>
      <c r="E53" s="2"/>
      <c r="F53"/>
      <c r="G53"/>
      <c r="H53"/>
      <c r="I53" s="36"/>
      <c r="J53" s="2">
        <v>1198968903.3900001</v>
      </c>
      <c r="K53"/>
      <c r="L53"/>
      <c r="M53"/>
      <c r="N53"/>
      <c r="O53"/>
      <c r="P53"/>
    </row>
    <row r="54" spans="1:16" ht="31.5" x14ac:dyDescent="0.35">
      <c r="A54" s="241"/>
      <c r="B54" s="243" t="s">
        <v>300</v>
      </c>
      <c r="C54" s="246"/>
      <c r="D54" s="245">
        <v>46000000</v>
      </c>
      <c r="E54" s="2"/>
      <c r="F54"/>
      <c r="G54"/>
      <c r="H54"/>
      <c r="I54" s="36"/>
      <c r="J54" s="1">
        <f>+J52-J53</f>
        <v>-88000</v>
      </c>
      <c r="K54"/>
      <c r="L54"/>
      <c r="M54"/>
      <c r="N54"/>
      <c r="O54"/>
      <c r="P54"/>
    </row>
    <row r="55" spans="1:16" x14ac:dyDescent="0.35">
      <c r="A55" s="241"/>
      <c r="B55" s="243" t="s">
        <v>515</v>
      </c>
      <c r="C55" s="246"/>
      <c r="D55" s="245">
        <v>32000000</v>
      </c>
      <c r="E55" s="2" t="s">
        <v>604</v>
      </c>
      <c r="F55"/>
      <c r="G55"/>
      <c r="H55"/>
      <c r="I55" s="36"/>
      <c r="K55"/>
      <c r="L55"/>
      <c r="M55"/>
      <c r="N55"/>
      <c r="O55"/>
      <c r="P55"/>
    </row>
    <row r="56" spans="1:16" ht="61.5" x14ac:dyDescent="0.35">
      <c r="A56" s="241"/>
      <c r="B56" s="243" t="s">
        <v>303</v>
      </c>
      <c r="C56" s="246"/>
      <c r="D56" s="245">
        <v>63210000</v>
      </c>
      <c r="E56" s="2"/>
      <c r="F56"/>
      <c r="G56"/>
      <c r="H56"/>
      <c r="I56" s="36"/>
      <c r="K56"/>
      <c r="L56"/>
      <c r="M56"/>
      <c r="N56"/>
      <c r="O56"/>
      <c r="P56"/>
    </row>
    <row r="57" spans="1:16" ht="46.5" x14ac:dyDescent="0.35">
      <c r="A57" s="241"/>
      <c r="B57" s="243" t="s">
        <v>393</v>
      </c>
      <c r="C57" s="246"/>
      <c r="D57" s="245">
        <v>14260000</v>
      </c>
      <c r="E57" s="2"/>
      <c r="F57"/>
      <c r="G57"/>
      <c r="H57"/>
      <c r="I57" s="36"/>
      <c r="K57"/>
      <c r="L57"/>
      <c r="M57"/>
      <c r="N57"/>
      <c r="O57"/>
      <c r="P57"/>
    </row>
    <row r="58" spans="1:16" ht="31.5" x14ac:dyDescent="0.35">
      <c r="A58" s="241"/>
      <c r="B58" s="243" t="s">
        <v>305</v>
      </c>
      <c r="C58" s="246"/>
      <c r="D58" s="245">
        <v>14760000</v>
      </c>
      <c r="E58" s="2"/>
      <c r="F58"/>
      <c r="G58"/>
      <c r="H58"/>
      <c r="I58" s="36"/>
      <c r="K58"/>
      <c r="L58"/>
      <c r="M58"/>
      <c r="N58"/>
      <c r="O58"/>
      <c r="P58"/>
    </row>
    <row r="59" spans="1:16" ht="46.5" x14ac:dyDescent="0.35">
      <c r="A59" s="241"/>
      <c r="B59" s="243" t="s">
        <v>306</v>
      </c>
      <c r="C59" s="246"/>
      <c r="D59" s="245">
        <v>70640000</v>
      </c>
      <c r="E59" s="2"/>
      <c r="F59"/>
      <c r="G59"/>
      <c r="H59"/>
      <c r="I59" s="36"/>
      <c r="K59"/>
      <c r="L59"/>
      <c r="M59"/>
      <c r="N59"/>
      <c r="O59"/>
      <c r="P59"/>
    </row>
    <row r="60" spans="1:16" ht="46.5" x14ac:dyDescent="0.35">
      <c r="A60" s="241"/>
      <c r="B60" s="243" t="s">
        <v>343</v>
      </c>
      <c r="C60" s="246"/>
      <c r="D60" s="245">
        <f>'CMO - SPPA'!G269</f>
        <v>3000000</v>
      </c>
      <c r="E60" s="2"/>
      <c r="F60"/>
      <c r="G60"/>
      <c r="H60"/>
      <c r="I60" s="36"/>
      <c r="K60"/>
      <c r="L60"/>
      <c r="M60"/>
      <c r="N60"/>
      <c r="O60"/>
      <c r="P60"/>
    </row>
    <row r="61" spans="1:16" ht="31.5" x14ac:dyDescent="0.35">
      <c r="A61" s="241"/>
      <c r="B61" s="243" t="s">
        <v>352</v>
      </c>
      <c r="C61" s="246"/>
      <c r="D61" s="245">
        <v>5000000</v>
      </c>
      <c r="E61" s="2" t="s">
        <v>603</v>
      </c>
      <c r="F61"/>
      <c r="G61"/>
      <c r="H61"/>
      <c r="I61" s="36"/>
      <c r="K61"/>
      <c r="L61"/>
      <c r="M61"/>
      <c r="N61"/>
      <c r="O61"/>
      <c r="P61"/>
    </row>
    <row r="62" spans="1:16" ht="31.5" x14ac:dyDescent="0.35">
      <c r="A62" s="241"/>
      <c r="B62" s="243" t="s">
        <v>353</v>
      </c>
      <c r="C62" s="246"/>
      <c r="D62" s="245">
        <v>5000000</v>
      </c>
      <c r="E62" s="2"/>
      <c r="F62"/>
      <c r="G62"/>
      <c r="H62"/>
      <c r="I62" s="36"/>
      <c r="K62"/>
      <c r="L62"/>
      <c r="M62"/>
      <c r="N62"/>
      <c r="O62"/>
      <c r="P62"/>
    </row>
    <row r="63" spans="1:16" x14ac:dyDescent="0.35">
      <c r="A63" s="241"/>
      <c r="B63" s="243"/>
      <c r="C63" s="247" t="s">
        <v>245</v>
      </c>
      <c r="D63" s="248">
        <f>SUM(D53:D62)</f>
        <v>296261000</v>
      </c>
      <c r="E63" s="2"/>
      <c r="F63"/>
      <c r="G63"/>
      <c r="H63"/>
      <c r="I63" s="36"/>
      <c r="K63"/>
      <c r="L63"/>
      <c r="M63"/>
      <c r="N63"/>
      <c r="O63"/>
      <c r="P63"/>
    </row>
    <row r="64" spans="1:16" x14ac:dyDescent="0.35">
      <c r="C64" s="4"/>
      <c r="D64"/>
      <c r="E64"/>
      <c r="F64"/>
      <c r="G64"/>
      <c r="H64"/>
      <c r="I64" s="36"/>
      <c r="K64"/>
      <c r="L64"/>
      <c r="M64"/>
      <c r="N64"/>
      <c r="O64"/>
      <c r="P64"/>
    </row>
    <row r="65" spans="3:16" x14ac:dyDescent="0.35">
      <c r="C65" s="4"/>
      <c r="D65"/>
      <c r="E65"/>
      <c r="F65"/>
      <c r="G65"/>
      <c r="H65"/>
      <c r="I65" s="36"/>
      <c r="K65"/>
      <c r="L65"/>
      <c r="M65"/>
      <c r="N65"/>
      <c r="O65"/>
      <c r="P65"/>
    </row>
    <row r="66" spans="3:16" x14ac:dyDescent="0.35">
      <c r="C66" s="4"/>
      <c r="D66"/>
      <c r="E66"/>
      <c r="F66"/>
      <c r="G66"/>
      <c r="H66"/>
      <c r="I66" s="36"/>
      <c r="K66"/>
      <c r="L66"/>
      <c r="M66"/>
      <c r="N66"/>
      <c r="O66"/>
      <c r="P66"/>
    </row>
    <row r="67" spans="3:16" x14ac:dyDescent="0.35">
      <c r="C67" s="4"/>
      <c r="D67"/>
      <c r="E67"/>
      <c r="F67"/>
      <c r="G67"/>
      <c r="H67"/>
      <c r="I67" s="36"/>
      <c r="K67"/>
      <c r="L67"/>
      <c r="M67"/>
      <c r="N67"/>
      <c r="O67"/>
      <c r="P67"/>
    </row>
    <row r="68" spans="3:16" x14ac:dyDescent="0.35">
      <c r="C68" s="4"/>
      <c r="D68"/>
      <c r="E68"/>
      <c r="F68"/>
      <c r="G68"/>
      <c r="H68"/>
      <c r="I68" s="36"/>
      <c r="K68"/>
      <c r="L68"/>
      <c r="M68"/>
      <c r="N68"/>
      <c r="O68"/>
      <c r="P68"/>
    </row>
    <row r="69" spans="3:16" x14ac:dyDescent="0.35">
      <c r="C69" s="4"/>
      <c r="D69"/>
      <c r="E69"/>
      <c r="F69"/>
      <c r="G69"/>
      <c r="H69"/>
      <c r="I69" s="36"/>
      <c r="K69"/>
      <c r="L69"/>
      <c r="M69"/>
      <c r="N69"/>
      <c r="O69"/>
      <c r="P69"/>
    </row>
    <row r="70" spans="3:16" x14ac:dyDescent="0.35">
      <c r="C70" s="4"/>
      <c r="D70"/>
      <c r="E70"/>
      <c r="F70"/>
      <c r="G70"/>
      <c r="H70"/>
      <c r="I70" s="36"/>
      <c r="K70"/>
      <c r="L70"/>
      <c r="M70"/>
      <c r="N70"/>
      <c r="O70"/>
      <c r="P70"/>
    </row>
    <row r="71" spans="3:16" x14ac:dyDescent="0.35">
      <c r="C71" s="4"/>
      <c r="D71"/>
      <c r="E71"/>
      <c r="F71"/>
      <c r="G71"/>
      <c r="H71"/>
      <c r="I71" s="36"/>
      <c r="K71"/>
      <c r="L71"/>
      <c r="M71"/>
      <c r="N71"/>
      <c r="O71"/>
      <c r="P71"/>
    </row>
    <row r="72" spans="3:16" x14ac:dyDescent="0.35">
      <c r="C72" s="4"/>
      <c r="D72"/>
      <c r="E72"/>
      <c r="F72"/>
      <c r="G72"/>
      <c r="H72"/>
      <c r="I72" s="36"/>
      <c r="K72"/>
      <c r="L72"/>
      <c r="M72"/>
      <c r="N72"/>
      <c r="O72"/>
      <c r="P72"/>
    </row>
    <row r="73" spans="3:16" x14ac:dyDescent="0.35">
      <c r="C73" s="4"/>
      <c r="D73"/>
      <c r="E73"/>
      <c r="F73"/>
      <c r="G73"/>
      <c r="H73"/>
      <c r="I73" s="36"/>
      <c r="K73"/>
      <c r="L73"/>
      <c r="M73"/>
      <c r="N73"/>
      <c r="O73"/>
      <c r="P73"/>
    </row>
    <row r="74" spans="3:16" x14ac:dyDescent="0.35">
      <c r="C74" s="4"/>
      <c r="D74"/>
      <c r="E74"/>
      <c r="F74"/>
      <c r="G74"/>
      <c r="H74"/>
      <c r="I74" s="36"/>
      <c r="K74"/>
      <c r="L74"/>
      <c r="M74"/>
      <c r="N74"/>
      <c r="O74"/>
      <c r="P74"/>
    </row>
    <row r="75" spans="3:16" x14ac:dyDescent="0.35">
      <c r="C75" s="4"/>
      <c r="D75"/>
      <c r="E75"/>
      <c r="F75"/>
      <c r="G75"/>
      <c r="H75"/>
      <c r="I75" s="36"/>
      <c r="K75"/>
      <c r="L75"/>
      <c r="M75"/>
      <c r="N75"/>
      <c r="O75"/>
      <c r="P75"/>
    </row>
    <row r="76" spans="3:16" x14ac:dyDescent="0.35">
      <c r="C76" s="4"/>
      <c r="D76"/>
      <c r="E76"/>
      <c r="F76"/>
      <c r="G76"/>
      <c r="H76"/>
      <c r="I76" s="36"/>
      <c r="K76"/>
      <c r="L76"/>
      <c r="M76"/>
      <c r="N76"/>
      <c r="O76"/>
      <c r="P76"/>
    </row>
    <row r="77" spans="3:16" x14ac:dyDescent="0.35">
      <c r="C77" s="4"/>
      <c r="D77"/>
      <c r="E77"/>
      <c r="F77"/>
      <c r="G77"/>
      <c r="H77"/>
      <c r="I77" s="36"/>
      <c r="K77"/>
      <c r="L77"/>
      <c r="M77"/>
      <c r="N77"/>
      <c r="O77"/>
      <c r="P77"/>
    </row>
    <row r="78" spans="3:16" x14ac:dyDescent="0.35">
      <c r="C78" s="4"/>
      <c r="D78"/>
      <c r="E78"/>
      <c r="F78"/>
      <c r="G78"/>
      <c r="H78"/>
      <c r="I78" s="36"/>
      <c r="K78"/>
      <c r="L78"/>
      <c r="M78"/>
      <c r="N78"/>
      <c r="O78"/>
      <c r="P78"/>
    </row>
    <row r="79" spans="3:16" x14ac:dyDescent="0.35">
      <c r="C79" s="4"/>
      <c r="D79"/>
      <c r="E79"/>
      <c r="F79"/>
      <c r="G79"/>
      <c r="H79"/>
      <c r="I79" s="36"/>
      <c r="K79"/>
      <c r="L79"/>
      <c r="M79"/>
      <c r="N79"/>
      <c r="O79"/>
      <c r="P79"/>
    </row>
    <row r="80" spans="3:16" x14ac:dyDescent="0.35">
      <c r="C80" s="4"/>
      <c r="D80"/>
      <c r="E80"/>
      <c r="F80"/>
      <c r="G80"/>
      <c r="H80"/>
      <c r="I80" s="36"/>
      <c r="K80"/>
      <c r="L80"/>
      <c r="M80"/>
      <c r="N80"/>
      <c r="O80"/>
      <c r="P80"/>
    </row>
    <row r="81" spans="3:16" x14ac:dyDescent="0.35">
      <c r="C81" s="4"/>
      <c r="D81"/>
      <c r="E81"/>
      <c r="F81"/>
      <c r="G81"/>
      <c r="H81"/>
      <c r="I81" s="36"/>
      <c r="K81"/>
      <c r="L81"/>
      <c r="M81"/>
      <c r="N81"/>
      <c r="O81"/>
      <c r="P81"/>
    </row>
    <row r="82" spans="3:16" x14ac:dyDescent="0.35">
      <c r="C82" s="4"/>
      <c r="D82"/>
      <c r="E82"/>
      <c r="F82"/>
      <c r="G82"/>
      <c r="H82"/>
      <c r="I82" s="36"/>
      <c r="K82"/>
      <c r="L82"/>
      <c r="M82"/>
      <c r="N82"/>
      <c r="O82"/>
      <c r="P82"/>
    </row>
    <row r="83" spans="3:16" x14ac:dyDescent="0.35">
      <c r="C83" s="4"/>
      <c r="D83"/>
      <c r="E83"/>
      <c r="F83"/>
      <c r="G83"/>
      <c r="H83"/>
      <c r="I83" s="36"/>
      <c r="K83"/>
      <c r="L83"/>
      <c r="M83"/>
      <c r="N83"/>
      <c r="O83"/>
      <c r="P83"/>
    </row>
    <row r="84" spans="3:16" x14ac:dyDescent="0.35">
      <c r="C84" s="4"/>
      <c r="D84"/>
      <c r="E84"/>
      <c r="F84"/>
      <c r="G84"/>
      <c r="H84"/>
      <c r="I84" s="36"/>
      <c r="K84"/>
      <c r="L84"/>
      <c r="M84"/>
      <c r="N84"/>
      <c r="O84"/>
      <c r="P84"/>
    </row>
    <row r="85" spans="3:16" x14ac:dyDescent="0.35">
      <c r="C85" s="4"/>
      <c r="D85"/>
      <c r="E85"/>
      <c r="F85"/>
      <c r="G85"/>
      <c r="H85"/>
      <c r="I85" s="36"/>
      <c r="K85"/>
      <c r="L85"/>
      <c r="M85"/>
      <c r="N85"/>
      <c r="O85"/>
      <c r="P85"/>
    </row>
    <row r="86" spans="3:16" x14ac:dyDescent="0.35">
      <c r="C86" s="4"/>
      <c r="D86"/>
      <c r="E86"/>
      <c r="F86"/>
      <c r="G86"/>
      <c r="H86"/>
      <c r="I86" s="36"/>
      <c r="K86"/>
      <c r="L86"/>
      <c r="M86"/>
      <c r="N86"/>
      <c r="O86"/>
      <c r="P86"/>
    </row>
    <row r="87" spans="3:16" x14ac:dyDescent="0.35">
      <c r="C87" s="4"/>
      <c r="D87"/>
      <c r="E87"/>
      <c r="F87"/>
      <c r="G87"/>
      <c r="H87"/>
      <c r="I87" s="36"/>
      <c r="K87"/>
      <c r="L87"/>
      <c r="M87"/>
      <c r="N87"/>
      <c r="O87"/>
      <c r="P87"/>
    </row>
    <row r="88" spans="3:16" x14ac:dyDescent="0.35">
      <c r="C88" s="4"/>
      <c r="D88"/>
      <c r="E88"/>
      <c r="F88"/>
      <c r="G88"/>
      <c r="H88"/>
      <c r="I88" s="36"/>
      <c r="K88"/>
      <c r="L88"/>
      <c r="M88"/>
      <c r="N88"/>
      <c r="O88"/>
      <c r="P88"/>
    </row>
    <row r="89" spans="3:16" x14ac:dyDescent="0.35">
      <c r="C89" s="4"/>
      <c r="D89"/>
      <c r="E89"/>
      <c r="F89"/>
      <c r="G89"/>
      <c r="H89"/>
      <c r="I89" s="36"/>
      <c r="K89"/>
      <c r="L89"/>
      <c r="M89"/>
      <c r="N89"/>
      <c r="O89"/>
      <c r="P89"/>
    </row>
    <row r="90" spans="3:16" x14ac:dyDescent="0.35">
      <c r="C90" s="4"/>
      <c r="D90"/>
      <c r="E90"/>
      <c r="F90"/>
      <c r="G90"/>
      <c r="H90"/>
      <c r="I90" s="36"/>
      <c r="K90"/>
      <c r="L90"/>
      <c r="M90"/>
      <c r="N90"/>
      <c r="O90"/>
      <c r="P90"/>
    </row>
    <row r="91" spans="3:16" x14ac:dyDescent="0.35">
      <c r="C91" s="4"/>
      <c r="D91"/>
      <c r="E91"/>
      <c r="F91"/>
      <c r="G91"/>
      <c r="H91"/>
      <c r="I91" s="36"/>
      <c r="K91"/>
      <c r="L91"/>
      <c r="M91"/>
      <c r="N91"/>
      <c r="O91"/>
      <c r="P91"/>
    </row>
    <row r="92" spans="3:16" x14ac:dyDescent="0.35">
      <c r="C92" s="4"/>
      <c r="D92"/>
      <c r="E92"/>
      <c r="F92"/>
      <c r="G92"/>
      <c r="H92"/>
      <c r="I92" s="36"/>
      <c r="K92"/>
      <c r="L92"/>
      <c r="M92"/>
      <c r="N92"/>
      <c r="O92"/>
      <c r="P92"/>
    </row>
    <row r="93" spans="3:16" x14ac:dyDescent="0.35">
      <c r="C93" s="4"/>
      <c r="D93"/>
      <c r="E93"/>
      <c r="F93"/>
      <c r="G93"/>
      <c r="H93"/>
      <c r="I93" s="36"/>
      <c r="K93"/>
      <c r="L93"/>
      <c r="M93"/>
      <c r="N93"/>
      <c r="O93"/>
      <c r="P93"/>
    </row>
    <row r="94" spans="3:16" x14ac:dyDescent="0.35">
      <c r="C94" s="4"/>
      <c r="D94"/>
      <c r="E94"/>
      <c r="F94"/>
      <c r="G94"/>
      <c r="H94"/>
      <c r="I94" s="36"/>
      <c r="K94"/>
      <c r="L94"/>
      <c r="M94"/>
      <c r="N94"/>
      <c r="O94"/>
      <c r="P94"/>
    </row>
    <row r="95" spans="3:16" x14ac:dyDescent="0.35">
      <c r="C95" s="4"/>
      <c r="D95"/>
      <c r="E95"/>
      <c r="F95"/>
      <c r="G95"/>
      <c r="H95"/>
      <c r="I95" s="36"/>
      <c r="K95"/>
      <c r="L95"/>
      <c r="M95"/>
      <c r="N95"/>
      <c r="O95"/>
      <c r="P95"/>
    </row>
    <row r="96" spans="3:16" x14ac:dyDescent="0.35">
      <c r="C96" s="4"/>
      <c r="D96"/>
      <c r="E96"/>
      <c r="F96"/>
      <c r="G96"/>
      <c r="H96"/>
      <c r="I96" s="36"/>
      <c r="K96"/>
      <c r="L96"/>
      <c r="M96"/>
      <c r="N96"/>
      <c r="O96"/>
      <c r="P96"/>
    </row>
    <row r="97" spans="3:16" x14ac:dyDescent="0.35">
      <c r="C97" s="4"/>
      <c r="D97"/>
      <c r="E97"/>
      <c r="F97"/>
      <c r="G97"/>
      <c r="H97"/>
      <c r="I97" s="36"/>
      <c r="K97"/>
      <c r="L97"/>
      <c r="M97"/>
      <c r="N97"/>
      <c r="O97"/>
      <c r="P97"/>
    </row>
    <row r="98" spans="3:16" x14ac:dyDescent="0.35">
      <c r="C98" s="4"/>
      <c r="D98"/>
      <c r="E98"/>
      <c r="F98"/>
      <c r="G98"/>
      <c r="H98"/>
      <c r="I98" s="36"/>
      <c r="K98"/>
      <c r="L98"/>
      <c r="M98"/>
      <c r="N98"/>
      <c r="O98"/>
      <c r="P98"/>
    </row>
    <row r="99" spans="3:16" x14ac:dyDescent="0.35">
      <c r="C99" s="4"/>
      <c r="D99"/>
      <c r="E99"/>
      <c r="F99"/>
      <c r="G99"/>
      <c r="H99"/>
      <c r="I99" s="36"/>
      <c r="K99"/>
      <c r="L99"/>
      <c r="M99"/>
      <c r="N99"/>
      <c r="O99"/>
      <c r="P99"/>
    </row>
    <row r="100" spans="3:16" x14ac:dyDescent="0.35">
      <c r="C100" s="4"/>
      <c r="D100"/>
      <c r="E100"/>
      <c r="F100"/>
      <c r="G100"/>
      <c r="H100"/>
      <c r="I100" s="36"/>
      <c r="K100"/>
      <c r="L100"/>
      <c r="M100"/>
      <c r="N100"/>
      <c r="O100"/>
      <c r="P100"/>
    </row>
    <row r="101" spans="3:16" x14ac:dyDescent="0.35">
      <c r="C101" s="4"/>
      <c r="D101"/>
      <c r="E101"/>
      <c r="F101"/>
      <c r="G101"/>
      <c r="H101"/>
      <c r="I101" s="36"/>
      <c r="K101"/>
      <c r="L101"/>
      <c r="M101"/>
      <c r="N101"/>
      <c r="O101"/>
      <c r="P101"/>
    </row>
    <row r="102" spans="3:16" x14ac:dyDescent="0.35">
      <c r="C102" s="4"/>
      <c r="D102"/>
      <c r="E102"/>
      <c r="F102"/>
      <c r="G102"/>
      <c r="H102"/>
      <c r="I102" s="36"/>
      <c r="K102"/>
      <c r="L102"/>
      <c r="M102"/>
      <c r="N102"/>
      <c r="O102"/>
      <c r="P102"/>
    </row>
    <row r="103" spans="3:16" x14ac:dyDescent="0.35">
      <c r="C103" s="4"/>
      <c r="D103"/>
      <c r="E103"/>
      <c r="F103"/>
      <c r="G103"/>
      <c r="H103"/>
      <c r="I103" s="36"/>
      <c r="K103"/>
      <c r="L103"/>
      <c r="M103"/>
      <c r="N103"/>
      <c r="O103"/>
      <c r="P103"/>
    </row>
    <row r="104" spans="3:16" x14ac:dyDescent="0.35">
      <c r="C104" s="4"/>
      <c r="D104"/>
      <c r="E104"/>
      <c r="F104"/>
      <c r="G104"/>
      <c r="H104"/>
      <c r="I104" s="36"/>
      <c r="K104"/>
      <c r="L104"/>
      <c r="M104"/>
      <c r="N104"/>
      <c r="O104"/>
      <c r="P104"/>
    </row>
    <row r="105" spans="3:16" x14ac:dyDescent="0.35">
      <c r="C105" s="4"/>
      <c r="D105"/>
      <c r="E105"/>
      <c r="F105"/>
      <c r="G105"/>
      <c r="H105"/>
      <c r="I105" s="36"/>
      <c r="K105"/>
      <c r="L105"/>
      <c r="M105"/>
      <c r="N105"/>
      <c r="O105"/>
      <c r="P105"/>
    </row>
    <row r="106" spans="3:16" x14ac:dyDescent="0.35">
      <c r="C106" s="4"/>
      <c r="D106"/>
      <c r="E106"/>
      <c r="F106"/>
      <c r="G106"/>
      <c r="H106"/>
      <c r="I106" s="36"/>
      <c r="K106"/>
      <c r="L106"/>
      <c r="M106"/>
      <c r="N106"/>
      <c r="O106"/>
      <c r="P106"/>
    </row>
    <row r="107" spans="3:16" x14ac:dyDescent="0.35">
      <c r="C107" s="4"/>
      <c r="D107"/>
      <c r="E107"/>
      <c r="F107"/>
      <c r="G107"/>
      <c r="H107"/>
      <c r="I107" s="36"/>
      <c r="K107"/>
      <c r="L107"/>
      <c r="M107"/>
      <c r="N107"/>
      <c r="O107"/>
      <c r="P107"/>
    </row>
    <row r="108" spans="3:16" x14ac:dyDescent="0.35">
      <c r="C108" s="4"/>
      <c r="D108"/>
      <c r="E108"/>
      <c r="F108"/>
      <c r="G108"/>
      <c r="H108"/>
      <c r="I108" s="36"/>
      <c r="K108"/>
      <c r="L108"/>
      <c r="M108"/>
      <c r="N108"/>
      <c r="O108"/>
      <c r="P108"/>
    </row>
    <row r="109" spans="3:16" x14ac:dyDescent="0.35">
      <c r="C109" s="4"/>
      <c r="D109"/>
      <c r="E109"/>
      <c r="F109"/>
      <c r="G109"/>
      <c r="H109"/>
      <c r="I109" s="36"/>
      <c r="K109"/>
      <c r="L109"/>
      <c r="M109"/>
      <c r="N109"/>
      <c r="O109"/>
      <c r="P109"/>
    </row>
    <row r="110" spans="3:16" x14ac:dyDescent="0.35">
      <c r="C110" s="4"/>
      <c r="D110"/>
      <c r="E110"/>
      <c r="F110"/>
      <c r="G110"/>
      <c r="H110"/>
      <c r="I110" s="36"/>
      <c r="K110"/>
      <c r="L110"/>
      <c r="M110"/>
      <c r="N110"/>
      <c r="O110"/>
      <c r="P110"/>
    </row>
    <row r="111" spans="3:16" x14ac:dyDescent="0.35">
      <c r="C111" s="4"/>
      <c r="D111"/>
      <c r="E111"/>
      <c r="F111"/>
      <c r="G111"/>
      <c r="H111"/>
      <c r="I111" s="36"/>
      <c r="K111"/>
      <c r="L111"/>
      <c r="M111"/>
      <c r="N111"/>
      <c r="O111"/>
      <c r="P111"/>
    </row>
    <row r="112" spans="3:16" x14ac:dyDescent="0.35">
      <c r="C112" s="4"/>
      <c r="D112"/>
      <c r="E112"/>
      <c r="F112"/>
      <c r="G112"/>
      <c r="H112"/>
      <c r="I112" s="36"/>
      <c r="K112"/>
      <c r="L112"/>
      <c r="M112"/>
      <c r="N112"/>
      <c r="O112"/>
      <c r="P112"/>
    </row>
    <row r="113" spans="2:16" x14ac:dyDescent="0.35">
      <c r="C113" s="4"/>
      <c r="D113"/>
      <c r="E113"/>
      <c r="F113"/>
      <c r="G113"/>
      <c r="H113"/>
      <c r="I113" s="36"/>
      <c r="K113"/>
      <c r="L113"/>
      <c r="M113"/>
      <c r="N113"/>
      <c r="O113"/>
      <c r="P113"/>
    </row>
    <row r="114" spans="2:16" x14ac:dyDescent="0.35">
      <c r="C114" s="4"/>
      <c r="D114"/>
      <c r="E114"/>
      <c r="F114"/>
      <c r="G114"/>
      <c r="H114"/>
      <c r="I114" s="36"/>
      <c r="K114"/>
      <c r="L114"/>
      <c r="M114"/>
      <c r="N114"/>
      <c r="O114"/>
      <c r="P114"/>
    </row>
    <row r="115" spans="2:16" x14ac:dyDescent="0.35">
      <c r="C115" s="4"/>
      <c r="D115"/>
      <c r="E115"/>
      <c r="F115"/>
      <c r="G115"/>
      <c r="H115"/>
      <c r="I115" s="36"/>
      <c r="K115"/>
      <c r="L115"/>
      <c r="M115"/>
      <c r="N115"/>
      <c r="O115"/>
      <c r="P115"/>
    </row>
    <row r="116" spans="2:16" x14ac:dyDescent="0.35">
      <c r="C116" s="4"/>
      <c r="D116"/>
      <c r="E116"/>
      <c r="F116"/>
      <c r="G116"/>
      <c r="H116"/>
      <c r="I116" s="36"/>
      <c r="K116"/>
      <c r="L116"/>
      <c r="M116"/>
      <c r="N116"/>
      <c r="O116"/>
      <c r="P116"/>
    </row>
    <row r="117" spans="2:16" x14ac:dyDescent="0.35">
      <c r="C117" s="4"/>
      <c r="D117"/>
      <c r="E117"/>
      <c r="F117"/>
      <c r="G117"/>
      <c r="H117"/>
      <c r="I117" s="36"/>
      <c r="K117"/>
      <c r="L117"/>
      <c r="M117"/>
      <c r="N117"/>
      <c r="O117"/>
      <c r="P117"/>
    </row>
    <row r="118" spans="2:16" x14ac:dyDescent="0.35">
      <c r="C118" s="4"/>
      <c r="D118"/>
      <c r="E118"/>
      <c r="F118"/>
      <c r="G118"/>
      <c r="H118"/>
      <c r="I118" s="36"/>
      <c r="K118"/>
      <c r="L118"/>
      <c r="M118"/>
      <c r="N118"/>
      <c r="O118"/>
      <c r="P118"/>
    </row>
    <row r="119" spans="2:16" x14ac:dyDescent="0.35">
      <c r="C119" s="4"/>
      <c r="D119"/>
      <c r="E119"/>
      <c r="F119"/>
      <c r="G119"/>
      <c r="H119"/>
      <c r="I119" s="36"/>
      <c r="K119"/>
      <c r="L119"/>
      <c r="M119"/>
      <c r="N119"/>
      <c r="O119"/>
      <c r="P119"/>
    </row>
    <row r="120" spans="2:16" x14ac:dyDescent="0.35">
      <c r="C120" s="4"/>
      <c r="D120"/>
      <c r="E120"/>
      <c r="F120"/>
      <c r="G120"/>
      <c r="H120"/>
      <c r="I120" s="36"/>
      <c r="K120"/>
      <c r="L120"/>
      <c r="M120"/>
      <c r="N120"/>
      <c r="O120"/>
      <c r="P120"/>
    </row>
    <row r="121" spans="2:16" x14ac:dyDescent="0.35">
      <c r="C121" s="4"/>
      <c r="D121"/>
      <c r="E121"/>
      <c r="F121"/>
      <c r="G121"/>
      <c r="H121"/>
      <c r="I121" s="36"/>
      <c r="K121"/>
      <c r="L121"/>
      <c r="M121"/>
      <c r="N121"/>
      <c r="O121"/>
      <c r="P121"/>
    </row>
    <row r="122" spans="2:16" x14ac:dyDescent="0.35">
      <c r="C122" s="4"/>
      <c r="D122"/>
      <c r="E122"/>
      <c r="F122"/>
      <c r="G122"/>
      <c r="H122"/>
      <c r="I122" s="36"/>
      <c r="K122"/>
      <c r="L122"/>
      <c r="M122"/>
      <c r="N122"/>
      <c r="O122"/>
      <c r="P122"/>
    </row>
    <row r="123" spans="2:16" x14ac:dyDescent="0.35">
      <c r="B123" s="5" t="s">
        <v>289</v>
      </c>
      <c r="C123" s="20">
        <v>663578783</v>
      </c>
      <c r="D123"/>
      <c r="E123"/>
      <c r="F123"/>
      <c r="G123"/>
      <c r="H123"/>
      <c r="I123" s="36"/>
      <c r="K123"/>
      <c r="L123"/>
      <c r="M123"/>
      <c r="N123"/>
      <c r="O123"/>
      <c r="P123"/>
    </row>
    <row r="124" spans="2:16" x14ac:dyDescent="0.35">
      <c r="B124" s="5" t="s">
        <v>290</v>
      </c>
      <c r="C124" s="20">
        <v>730845000</v>
      </c>
      <c r="D124"/>
      <c r="E124"/>
      <c r="F124"/>
      <c r="G124"/>
      <c r="H124"/>
      <c r="I124" s="36"/>
      <c r="K124"/>
      <c r="L124"/>
      <c r="M124"/>
      <c r="N124"/>
      <c r="O124"/>
      <c r="P124"/>
    </row>
    <row r="125" spans="2:16" ht="21.75" thickBot="1" x14ac:dyDescent="0.4">
      <c r="B125" s="5" t="s">
        <v>291</v>
      </c>
      <c r="C125" s="21">
        <f>+C124-C123</f>
        <v>67266217</v>
      </c>
      <c r="D125"/>
      <c r="E125"/>
      <c r="F125"/>
      <c r="G125"/>
      <c r="H125"/>
      <c r="I125" s="36"/>
      <c r="K125"/>
      <c r="L125"/>
      <c r="M125"/>
      <c r="N125"/>
      <c r="O125"/>
      <c r="P125"/>
    </row>
    <row r="126" spans="2:16" ht="21.75" thickTop="1" x14ac:dyDescent="0.35">
      <c r="C126" s="4"/>
      <c r="D126"/>
      <c r="E126"/>
      <c r="F126"/>
      <c r="G126"/>
      <c r="H126"/>
      <c r="I126" s="36"/>
      <c r="K126"/>
      <c r="L126"/>
      <c r="M126"/>
      <c r="N126"/>
      <c r="O126"/>
      <c r="P126"/>
    </row>
  </sheetData>
  <mergeCells count="1">
    <mergeCell ref="A1:H1"/>
  </mergeCells>
  <printOptions horizontalCentered="1"/>
  <pageMargins left="0.23622047244094491" right="0.23622047244094491" top="0.74803149606299213" bottom="0.74803149606299213" header="0.31496062992125984" footer="0.31496062992125984"/>
  <pageSetup paperSize="10000" scale="62" firstPageNumber="198" fitToHeight="0" orientation="portrait" r:id="rId1"/>
  <headerFooter scaleWithDoc="0">
    <oddFooter>&amp;C&amp;"Candara,Bold"&amp;10&amp;P&amp;"Candara,Regular" &amp;"Candara,Bold"&amp;K000000|&amp;"Candara,Regular"&amp;K00-047 P a g e</oddFooter>
  </headerFooter>
  <rowBreaks count="1" manualBreakCount="1">
    <brk id="3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0"/>
    <pageSetUpPr fitToPage="1"/>
  </sheetPr>
  <dimension ref="A1:M89"/>
  <sheetViews>
    <sheetView view="pageBreakPreview" topLeftCell="A28" zoomScale="110" zoomScaleNormal="115" zoomScaleSheetLayoutView="110" workbookViewId="0">
      <selection activeCell="C40" sqref="C40"/>
    </sheetView>
  </sheetViews>
  <sheetFormatPr defaultColWidth="9.140625" defaultRowHeight="15" x14ac:dyDescent="0.25"/>
  <cols>
    <col min="1" max="1" width="37.7109375" style="41" customWidth="1"/>
    <col min="2" max="2" width="10.42578125" style="41" customWidth="1"/>
    <col min="3" max="4" width="14.7109375" style="41" customWidth="1"/>
    <col min="5" max="5" width="15.42578125" style="41" bestFit="1" customWidth="1"/>
    <col min="6" max="6" width="15.85546875" style="41" bestFit="1" customWidth="1"/>
    <col min="7" max="7" width="16" style="41" customWidth="1"/>
    <col min="8" max="8" width="18.5703125" style="41" customWidth="1"/>
    <col min="9" max="9" width="14.85546875" style="41" bestFit="1" customWidth="1"/>
    <col min="10" max="16384" width="9.140625" style="41"/>
  </cols>
  <sheetData>
    <row r="1" spans="1:13" ht="15" customHeight="1" x14ac:dyDescent="0.25">
      <c r="A1" s="1098" t="s">
        <v>231</v>
      </c>
      <c r="B1" s="1098"/>
      <c r="C1" s="1098"/>
      <c r="D1" s="1098"/>
      <c r="E1" s="1098"/>
      <c r="F1" s="1098"/>
      <c r="G1" s="1098"/>
    </row>
    <row r="2" spans="1:13" ht="18.75" customHeight="1" x14ac:dyDescent="0.3">
      <c r="A2" s="1072" t="s">
        <v>232</v>
      </c>
      <c r="B2" s="1072"/>
      <c r="C2" s="1072"/>
      <c r="D2" s="1072"/>
      <c r="E2" s="1072"/>
      <c r="F2" s="1072"/>
      <c r="G2" s="1072"/>
    </row>
    <row r="3" spans="1:13" ht="15.75" customHeight="1" x14ac:dyDescent="0.25">
      <c r="A3" s="1073" t="s">
        <v>233</v>
      </c>
      <c r="B3" s="1073"/>
      <c r="C3" s="1073"/>
      <c r="D3" s="1073"/>
      <c r="E3" s="1073"/>
      <c r="F3" s="1073"/>
      <c r="G3" s="1073"/>
    </row>
    <row r="4" spans="1:13" ht="15" customHeight="1" x14ac:dyDescent="0.25">
      <c r="A4" s="1074" t="s">
        <v>238</v>
      </c>
      <c r="B4" s="1074"/>
      <c r="C4" s="1075"/>
      <c r="D4" s="1075"/>
      <c r="E4" s="1075"/>
      <c r="F4" s="1075"/>
      <c r="G4" s="1075"/>
    </row>
    <row r="6" spans="1:13" s="43" customFormat="1" ht="12" customHeight="1" x14ac:dyDescent="0.2">
      <c r="A6" s="1099" t="s">
        <v>1</v>
      </c>
      <c r="B6" s="1099" t="s">
        <v>2</v>
      </c>
      <c r="C6" s="1099" t="s">
        <v>310</v>
      </c>
      <c r="D6" s="1100" t="s">
        <v>307</v>
      </c>
      <c r="E6" s="1100"/>
      <c r="F6" s="1100"/>
      <c r="G6" s="1099" t="s">
        <v>311</v>
      </c>
      <c r="H6" s="358"/>
      <c r="I6" s="358"/>
      <c r="J6" s="358"/>
      <c r="K6" s="358"/>
      <c r="L6" s="358"/>
      <c r="M6" s="358"/>
    </row>
    <row r="7" spans="1:13" s="43" customFormat="1" ht="12" customHeight="1" x14ac:dyDescent="0.2">
      <c r="A7" s="1099"/>
      <c r="B7" s="1099"/>
      <c r="C7" s="1099"/>
      <c r="D7" s="1100"/>
      <c r="E7" s="1100"/>
      <c r="F7" s="1100"/>
      <c r="G7" s="1099"/>
      <c r="H7" s="358"/>
      <c r="I7" s="358"/>
      <c r="J7" s="358"/>
      <c r="K7" s="358"/>
      <c r="L7" s="358"/>
      <c r="M7" s="358"/>
    </row>
    <row r="8" spans="1:13" s="43" customFormat="1" ht="24" x14ac:dyDescent="0.2">
      <c r="A8" s="1099"/>
      <c r="B8" s="1099"/>
      <c r="C8" s="1099"/>
      <c r="D8" s="359" t="s">
        <v>308</v>
      </c>
      <c r="E8" s="359" t="s">
        <v>309</v>
      </c>
      <c r="F8" s="359" t="s">
        <v>3</v>
      </c>
      <c r="G8" s="1099"/>
      <c r="H8" s="358"/>
      <c r="I8" s="358"/>
      <c r="J8" s="358"/>
      <c r="K8" s="358"/>
      <c r="L8" s="358"/>
      <c r="M8" s="358"/>
    </row>
    <row r="9" spans="1:13" s="70" customFormat="1" ht="11.25" x14ac:dyDescent="0.25">
      <c r="A9" s="360">
        <v>1</v>
      </c>
      <c r="B9" s="360">
        <v>2</v>
      </c>
      <c r="C9" s="880">
        <v>3</v>
      </c>
      <c r="D9" s="360">
        <v>4</v>
      </c>
      <c r="E9" s="360">
        <v>5</v>
      </c>
      <c r="F9" s="360">
        <v>6</v>
      </c>
      <c r="G9" s="360">
        <v>7</v>
      </c>
      <c r="H9" s="680"/>
      <c r="I9" s="361"/>
      <c r="J9" s="361"/>
      <c r="K9" s="361"/>
      <c r="L9" s="361"/>
      <c r="M9" s="361"/>
    </row>
    <row r="10" spans="1:13" s="42" customFormat="1" ht="15" customHeight="1" x14ac:dyDescent="0.2">
      <c r="A10" s="1064" t="s">
        <v>35</v>
      </c>
      <c r="B10" s="1065"/>
      <c r="C10" s="1056"/>
      <c r="D10" s="462"/>
      <c r="E10" s="461"/>
      <c r="F10" s="462"/>
      <c r="G10" s="463"/>
      <c r="H10" s="353"/>
      <c r="I10" s="353"/>
      <c r="J10" s="353"/>
      <c r="K10" s="353"/>
      <c r="L10" s="353"/>
      <c r="M10" s="353"/>
    </row>
    <row r="11" spans="1:13" s="42" customFormat="1" ht="30" customHeight="1" x14ac:dyDescent="0.2">
      <c r="A11" s="894" t="s">
        <v>1132</v>
      </c>
      <c r="B11" s="1066"/>
      <c r="C11" s="1058"/>
      <c r="D11" s="469"/>
      <c r="E11" s="468"/>
      <c r="F11" s="469"/>
      <c r="G11" s="408">
        <v>500000</v>
      </c>
      <c r="H11" s="353"/>
      <c r="I11" s="353"/>
      <c r="J11" s="353"/>
      <c r="K11" s="353"/>
      <c r="L11" s="353"/>
      <c r="M11" s="353"/>
    </row>
    <row r="12" spans="1:13" s="42" customFormat="1" ht="17.25" customHeight="1" x14ac:dyDescent="0.2">
      <c r="A12" s="894" t="s">
        <v>1133</v>
      </c>
      <c r="B12" s="1066"/>
      <c r="C12" s="1058"/>
      <c r="D12" s="469"/>
      <c r="E12" s="468"/>
      <c r="F12" s="469"/>
      <c r="G12" s="408">
        <v>415053.4</v>
      </c>
      <c r="H12" s="353"/>
      <c r="I12" s="353"/>
      <c r="J12" s="353"/>
      <c r="K12" s="353"/>
      <c r="L12" s="353"/>
      <c r="M12" s="353"/>
    </row>
    <row r="13" spans="1:13" s="42" customFormat="1" ht="29.25" customHeight="1" x14ac:dyDescent="0.2">
      <c r="A13" s="388" t="s">
        <v>1134</v>
      </c>
      <c r="B13" s="1067"/>
      <c r="C13" s="1057"/>
      <c r="D13" s="683"/>
      <c r="E13" s="682"/>
      <c r="F13" s="683"/>
      <c r="G13" s="408"/>
      <c r="H13" s="353"/>
      <c r="I13" s="353"/>
      <c r="J13" s="353"/>
      <c r="K13" s="353"/>
      <c r="L13" s="353"/>
      <c r="M13" s="353"/>
    </row>
    <row r="14" spans="1:13" s="42" customFormat="1" ht="15.75" customHeight="1" x14ac:dyDescent="0.2">
      <c r="A14" s="894" t="s">
        <v>404</v>
      </c>
      <c r="B14" s="1066" t="s">
        <v>403</v>
      </c>
      <c r="C14" s="1058"/>
      <c r="D14" s="469"/>
      <c r="E14" s="468"/>
      <c r="F14" s="469"/>
      <c r="G14" s="408">
        <v>20000000</v>
      </c>
      <c r="H14" s="353"/>
      <c r="I14" s="353"/>
      <c r="J14" s="353"/>
      <c r="K14" s="353"/>
      <c r="L14" s="353"/>
      <c r="M14" s="353"/>
    </row>
    <row r="15" spans="1:13" s="42" customFormat="1" ht="15.75" customHeight="1" x14ac:dyDescent="0.2">
      <c r="A15" s="894" t="s">
        <v>1135</v>
      </c>
      <c r="B15" s="1066" t="s">
        <v>154</v>
      </c>
      <c r="C15" s="1058"/>
      <c r="D15" s="469"/>
      <c r="E15" s="468"/>
      <c r="F15" s="469"/>
      <c r="G15" s="408">
        <v>2000000</v>
      </c>
      <c r="H15" s="353"/>
      <c r="I15" s="353"/>
      <c r="J15" s="353"/>
      <c r="K15" s="353"/>
      <c r="L15" s="353"/>
      <c r="M15" s="353"/>
    </row>
    <row r="16" spans="1:13" s="42" customFormat="1" ht="15.75" customHeight="1" x14ac:dyDescent="0.2">
      <c r="A16" s="894" t="s">
        <v>53</v>
      </c>
      <c r="B16" s="1066" t="s">
        <v>54</v>
      </c>
      <c r="C16" s="1058"/>
      <c r="D16" s="469"/>
      <c r="E16" s="468"/>
      <c r="F16" s="469"/>
      <c r="G16" s="408">
        <v>1000000</v>
      </c>
      <c r="H16" s="353"/>
      <c r="I16" s="353"/>
      <c r="J16" s="353"/>
      <c r="K16" s="353"/>
      <c r="L16" s="353"/>
      <c r="M16" s="353"/>
    </row>
    <row r="17" spans="1:13" s="42" customFormat="1" ht="15" customHeight="1" x14ac:dyDescent="0.2">
      <c r="A17" s="1063" t="s">
        <v>351</v>
      </c>
      <c r="B17" s="1067"/>
      <c r="C17" s="1057"/>
      <c r="D17" s="683"/>
      <c r="E17" s="682"/>
      <c r="F17" s="683"/>
      <c r="G17" s="405"/>
      <c r="H17" s="353"/>
      <c r="I17" s="353"/>
      <c r="J17" s="353"/>
      <c r="K17" s="353"/>
      <c r="L17" s="353"/>
      <c r="M17" s="353"/>
    </row>
    <row r="18" spans="1:13" s="42" customFormat="1" ht="15" customHeight="1" x14ac:dyDescent="0.2">
      <c r="A18" s="896" t="s">
        <v>140</v>
      </c>
      <c r="B18" s="442" t="s">
        <v>182</v>
      </c>
      <c r="C18" s="1059"/>
      <c r="D18" s="474"/>
      <c r="E18" s="473"/>
      <c r="F18" s="474"/>
      <c r="G18" s="444">
        <v>2000000</v>
      </c>
      <c r="H18" s="353"/>
      <c r="I18" s="353"/>
      <c r="J18" s="353"/>
      <c r="K18" s="353"/>
      <c r="L18" s="353"/>
      <c r="M18" s="353"/>
    </row>
    <row r="19" spans="1:13" s="42" customFormat="1" ht="15" customHeight="1" x14ac:dyDescent="0.2">
      <c r="A19" s="388" t="s">
        <v>42</v>
      </c>
      <c r="B19" s="1067"/>
      <c r="C19" s="1057"/>
      <c r="D19" s="683"/>
      <c r="E19" s="682"/>
      <c r="F19" s="683"/>
      <c r="G19" s="408"/>
      <c r="H19" s="353"/>
      <c r="I19" s="353"/>
      <c r="J19" s="353"/>
      <c r="K19" s="353"/>
      <c r="L19" s="353"/>
      <c r="M19" s="353"/>
    </row>
    <row r="20" spans="1:13" s="42" customFormat="1" ht="15.75" customHeight="1" x14ac:dyDescent="0.2">
      <c r="A20" s="894" t="s">
        <v>1130</v>
      </c>
      <c r="B20" s="1066" t="s">
        <v>176</v>
      </c>
      <c r="C20" s="1058"/>
      <c r="D20" s="469"/>
      <c r="E20" s="468"/>
      <c r="F20" s="469"/>
      <c r="G20" s="408">
        <v>100000</v>
      </c>
      <c r="H20" s="353"/>
      <c r="I20" s="353"/>
      <c r="J20" s="353"/>
      <c r="K20" s="353"/>
      <c r="L20" s="353"/>
      <c r="M20" s="353"/>
    </row>
    <row r="21" spans="1:13" s="42" customFormat="1" ht="17.25" customHeight="1" x14ac:dyDescent="0.2">
      <c r="A21" s="894" t="s">
        <v>1131</v>
      </c>
      <c r="B21" s="1066" t="s">
        <v>176</v>
      </c>
      <c r="C21" s="1058"/>
      <c r="D21" s="469"/>
      <c r="E21" s="468"/>
      <c r="F21" s="469"/>
      <c r="G21" s="408">
        <v>100000</v>
      </c>
      <c r="H21" s="353"/>
      <c r="I21" s="353"/>
      <c r="J21" s="353"/>
      <c r="K21" s="353"/>
      <c r="L21" s="353"/>
      <c r="M21" s="353"/>
    </row>
    <row r="22" spans="1:13" s="42" customFormat="1" ht="30" customHeight="1" x14ac:dyDescent="0.2">
      <c r="A22" s="681" t="s">
        <v>86</v>
      </c>
      <c r="B22" s="1068"/>
      <c r="C22" s="1060">
        <f>SUM(C10:C21)</f>
        <v>0</v>
      </c>
      <c r="D22" s="453">
        <f>SUM(D10:D21)</f>
        <v>0</v>
      </c>
      <c r="E22" s="453">
        <f>SUM(E10:E21)</f>
        <v>0</v>
      </c>
      <c r="F22" s="453">
        <f>SUM(F10:F21)</f>
        <v>0</v>
      </c>
      <c r="G22" s="453">
        <f>SUM(G10:G21)</f>
        <v>26115053.399999999</v>
      </c>
      <c r="H22" s="353"/>
      <c r="I22" s="353"/>
      <c r="J22" s="353"/>
      <c r="K22" s="353"/>
      <c r="L22" s="353"/>
      <c r="M22" s="353"/>
    </row>
    <row r="23" spans="1:13" s="42" customFormat="1" ht="12.75" x14ac:dyDescent="0.2">
      <c r="A23" s="1063" t="s">
        <v>1124</v>
      </c>
      <c r="B23" s="1067"/>
      <c r="C23" s="1057"/>
      <c r="D23" s="683"/>
      <c r="E23" s="682"/>
      <c r="F23" s="683"/>
      <c r="G23" s="684"/>
      <c r="H23" s="353"/>
      <c r="I23" s="353"/>
      <c r="J23" s="353"/>
      <c r="K23" s="353"/>
      <c r="L23" s="353"/>
      <c r="M23" s="353"/>
    </row>
    <row r="24" spans="1:13" s="42" customFormat="1" ht="30" customHeight="1" x14ac:dyDescent="0.2">
      <c r="A24" s="894" t="s">
        <v>1125</v>
      </c>
      <c r="B24" s="1066" t="s">
        <v>1129</v>
      </c>
      <c r="C24" s="1058"/>
      <c r="D24" s="469"/>
      <c r="E24" s="468"/>
      <c r="F24" s="469"/>
      <c r="G24" s="408"/>
      <c r="H24" s="353"/>
      <c r="I24" s="353"/>
      <c r="J24" s="353"/>
      <c r="K24" s="353"/>
      <c r="L24" s="353"/>
      <c r="M24" s="353"/>
    </row>
    <row r="25" spans="1:13" s="42" customFormat="1" ht="30" customHeight="1" x14ac:dyDescent="0.2">
      <c r="A25" s="894" t="s">
        <v>1126</v>
      </c>
      <c r="B25" s="1066"/>
      <c r="C25" s="1058"/>
      <c r="D25" s="469"/>
      <c r="E25" s="468"/>
      <c r="F25" s="469"/>
      <c r="G25" s="408">
        <v>8000000</v>
      </c>
      <c r="H25" s="353"/>
      <c r="I25" s="353"/>
      <c r="J25" s="353"/>
      <c r="K25" s="353"/>
      <c r="L25" s="353"/>
      <c r="M25" s="353"/>
    </row>
    <row r="26" spans="1:13" s="42" customFormat="1" ht="30" customHeight="1" x14ac:dyDescent="0.2">
      <c r="A26" s="894" t="s">
        <v>1127</v>
      </c>
      <c r="B26" s="1066"/>
      <c r="C26" s="1058"/>
      <c r="D26" s="469"/>
      <c r="E26" s="468"/>
      <c r="F26" s="469"/>
      <c r="G26" s="408">
        <v>8000000</v>
      </c>
      <c r="H26" s="353"/>
      <c r="I26" s="353"/>
      <c r="J26" s="353"/>
      <c r="K26" s="353"/>
      <c r="L26" s="353"/>
      <c r="M26" s="353"/>
    </row>
    <row r="27" spans="1:13" s="42" customFormat="1" ht="30" customHeight="1" x14ac:dyDescent="0.2">
      <c r="A27" s="894" t="s">
        <v>1128</v>
      </c>
      <c r="B27" s="1066"/>
      <c r="C27" s="1058"/>
      <c r="D27" s="469"/>
      <c r="E27" s="468"/>
      <c r="F27" s="469"/>
      <c r="G27" s="408">
        <v>3000000</v>
      </c>
      <c r="H27" s="353"/>
      <c r="I27" s="353"/>
      <c r="J27" s="353"/>
      <c r="K27" s="353"/>
      <c r="L27" s="353"/>
      <c r="M27" s="353"/>
    </row>
    <row r="28" spans="1:13" s="42" customFormat="1" ht="15" customHeight="1" x14ac:dyDescent="0.2">
      <c r="A28" s="894" t="s">
        <v>344</v>
      </c>
      <c r="B28" s="1066" t="s">
        <v>299</v>
      </c>
      <c r="C28" s="1058"/>
      <c r="D28" s="469"/>
      <c r="E28" s="468"/>
      <c r="F28" s="469"/>
      <c r="G28" s="408"/>
      <c r="H28" s="353"/>
      <c r="I28" s="353"/>
      <c r="J28" s="353"/>
      <c r="K28" s="353"/>
      <c r="L28" s="353"/>
      <c r="M28" s="353"/>
    </row>
    <row r="29" spans="1:13" s="42" customFormat="1" ht="30" customHeight="1" x14ac:dyDescent="0.2">
      <c r="A29" s="388" t="s">
        <v>1136</v>
      </c>
      <c r="B29" s="1066"/>
      <c r="C29" s="1058"/>
      <c r="D29" s="469"/>
      <c r="E29" s="468"/>
      <c r="F29" s="469"/>
      <c r="G29" s="408"/>
      <c r="H29" s="353"/>
      <c r="I29" s="353"/>
      <c r="J29" s="353"/>
      <c r="K29" s="353"/>
      <c r="L29" s="353"/>
      <c r="M29" s="353"/>
    </row>
    <row r="30" spans="1:13" s="42" customFormat="1" ht="33" customHeight="1" x14ac:dyDescent="0.2">
      <c r="A30" s="894" t="s">
        <v>1137</v>
      </c>
      <c r="B30" s="1066"/>
      <c r="C30" s="1058"/>
      <c r="D30" s="469"/>
      <c r="E30" s="468"/>
      <c r="F30" s="469"/>
      <c r="G30" s="408">
        <v>3000000</v>
      </c>
      <c r="H30" s="353"/>
      <c r="I30" s="353"/>
      <c r="J30" s="353"/>
      <c r="K30" s="353"/>
      <c r="L30" s="353"/>
      <c r="M30" s="353"/>
    </row>
    <row r="31" spans="1:13" s="42" customFormat="1" ht="31.5" customHeight="1" x14ac:dyDescent="0.2">
      <c r="A31" s="894" t="s">
        <v>1138</v>
      </c>
      <c r="B31" s="1066"/>
      <c r="C31" s="1058"/>
      <c r="D31" s="469"/>
      <c r="E31" s="468"/>
      <c r="F31" s="469"/>
      <c r="G31" s="408">
        <v>3000000</v>
      </c>
      <c r="H31" s="353"/>
      <c r="I31" s="353"/>
      <c r="J31" s="353"/>
      <c r="K31" s="353"/>
      <c r="L31" s="353"/>
      <c r="M31" s="353"/>
    </row>
    <row r="32" spans="1:13" s="42" customFormat="1" ht="29.25" customHeight="1" x14ac:dyDescent="0.2">
      <c r="A32" s="388" t="s">
        <v>1139</v>
      </c>
      <c r="B32" s="1066"/>
      <c r="C32" s="1058"/>
      <c r="D32" s="469"/>
      <c r="E32" s="468"/>
      <c r="F32" s="469"/>
      <c r="G32" s="408">
        <v>1500000</v>
      </c>
      <c r="H32" s="353"/>
      <c r="I32" s="353"/>
      <c r="J32" s="353"/>
      <c r="K32" s="353"/>
      <c r="L32" s="353"/>
      <c r="M32" s="353"/>
    </row>
    <row r="33" spans="1:13" s="42" customFormat="1" ht="15.75" customHeight="1" x14ac:dyDescent="0.2">
      <c r="A33" s="388" t="s">
        <v>1140</v>
      </c>
      <c r="B33" s="1066"/>
      <c r="C33" s="1058"/>
      <c r="D33" s="469"/>
      <c r="E33" s="468"/>
      <c r="F33" s="469"/>
      <c r="G33" s="408">
        <v>4000000</v>
      </c>
      <c r="H33" s="353"/>
      <c r="I33" s="353"/>
      <c r="J33" s="353"/>
      <c r="K33" s="353"/>
      <c r="L33" s="353"/>
      <c r="M33" s="353"/>
    </row>
    <row r="34" spans="1:13" s="42" customFormat="1" ht="15" customHeight="1" x14ac:dyDescent="0.2">
      <c r="A34" s="1063" t="s">
        <v>92</v>
      </c>
      <c r="B34" s="1067"/>
      <c r="C34" s="1057"/>
      <c r="D34" s="683"/>
      <c r="E34" s="682"/>
      <c r="F34" s="683"/>
      <c r="G34" s="405"/>
      <c r="H34" s="353"/>
      <c r="I34" s="353"/>
      <c r="J34" s="353"/>
      <c r="K34" s="353"/>
      <c r="L34" s="353"/>
      <c r="M34" s="353"/>
    </row>
    <row r="35" spans="1:13" s="42" customFormat="1" ht="15" customHeight="1" x14ac:dyDescent="0.2">
      <c r="A35" s="894" t="s">
        <v>405</v>
      </c>
      <c r="B35" s="1066" t="s">
        <v>406</v>
      </c>
      <c r="C35" s="1058"/>
      <c r="D35" s="469"/>
      <c r="E35" s="468"/>
      <c r="F35" s="469"/>
      <c r="G35" s="408"/>
      <c r="H35" s="353"/>
      <c r="I35" s="353"/>
      <c r="J35" s="353"/>
      <c r="K35" s="353"/>
      <c r="L35" s="353"/>
      <c r="M35" s="353"/>
    </row>
    <row r="36" spans="1:13" s="42" customFormat="1" ht="30" customHeight="1" x14ac:dyDescent="0.2">
      <c r="A36" s="894" t="s">
        <v>1141</v>
      </c>
      <c r="B36" s="1066"/>
      <c r="C36" s="1058"/>
      <c r="D36" s="469"/>
      <c r="E36" s="468"/>
      <c r="F36" s="469"/>
      <c r="G36" s="408">
        <v>2500000</v>
      </c>
      <c r="H36" s="353"/>
      <c r="I36" s="353"/>
      <c r="J36" s="353"/>
      <c r="K36" s="353"/>
      <c r="L36" s="353"/>
      <c r="M36" s="353"/>
    </row>
    <row r="37" spans="1:13" s="42" customFormat="1" ht="15" customHeight="1" x14ac:dyDescent="0.2">
      <c r="A37" s="894" t="s">
        <v>1142</v>
      </c>
      <c r="B37" s="1066"/>
      <c r="C37" s="1058"/>
      <c r="D37" s="469"/>
      <c r="E37" s="468"/>
      <c r="F37" s="469"/>
      <c r="G37" s="408">
        <v>4000000</v>
      </c>
      <c r="H37" s="353"/>
      <c r="I37" s="353"/>
      <c r="J37" s="353"/>
      <c r="K37" s="353"/>
      <c r="L37" s="353"/>
      <c r="M37" s="353"/>
    </row>
    <row r="38" spans="1:13" s="42" customFormat="1" ht="15" customHeight="1" x14ac:dyDescent="0.2">
      <c r="A38" s="681" t="s">
        <v>112</v>
      </c>
      <c r="B38" s="1068"/>
      <c r="C38" s="1060">
        <f>SUM(C28:C37)</f>
        <v>0</v>
      </c>
      <c r="D38" s="453">
        <f>SUM(D28:D37)</f>
        <v>0</v>
      </c>
      <c r="E38" s="453">
        <f>SUM(E28:E37)</f>
        <v>0</v>
      </c>
      <c r="F38" s="453">
        <f>SUM(F28:F37)</f>
        <v>0</v>
      </c>
      <c r="G38" s="453">
        <f>SUM(G23:G37)</f>
        <v>37000000</v>
      </c>
      <c r="H38" s="353"/>
      <c r="I38" s="353"/>
      <c r="J38" s="353"/>
      <c r="K38" s="353"/>
      <c r="L38" s="353"/>
      <c r="M38" s="353"/>
    </row>
    <row r="39" spans="1:13" s="42" customFormat="1" ht="30" customHeight="1" x14ac:dyDescent="0.2">
      <c r="A39" s="419" t="s">
        <v>242</v>
      </c>
      <c r="B39" s="685"/>
      <c r="C39" s="1061"/>
      <c r="D39" s="685"/>
      <c r="E39" s="685"/>
      <c r="F39" s="685"/>
      <c r="G39" s="1069">
        <f>G22+G38</f>
        <v>63115053.399999999</v>
      </c>
      <c r="H39" s="686">
        <f>G41*0.7</f>
        <v>63115053.399999999</v>
      </c>
      <c r="I39" s="353"/>
      <c r="J39" s="353"/>
      <c r="K39" s="353"/>
      <c r="L39" s="353"/>
      <c r="M39" s="353"/>
    </row>
    <row r="40" spans="1:13" s="42" customFormat="1" ht="30" customHeight="1" x14ac:dyDescent="0.2">
      <c r="A40" s="419" t="s">
        <v>241</v>
      </c>
      <c r="B40" s="685"/>
      <c r="C40" s="1061"/>
      <c r="D40" s="685"/>
      <c r="E40" s="685"/>
      <c r="F40" s="687"/>
      <c r="G40" s="500">
        <f>G41*0.3</f>
        <v>27049308.599999998</v>
      </c>
      <c r="H40" s="353"/>
      <c r="I40" s="353"/>
      <c r="J40" s="353"/>
      <c r="K40" s="353"/>
      <c r="L40" s="353"/>
      <c r="M40" s="353"/>
    </row>
    <row r="41" spans="1:13" s="42" customFormat="1" ht="30" customHeight="1" x14ac:dyDescent="0.2">
      <c r="A41" s="688" t="s">
        <v>243</v>
      </c>
      <c r="B41" s="689"/>
      <c r="C41" s="1062"/>
      <c r="D41" s="689"/>
      <c r="E41" s="689"/>
      <c r="F41" s="689"/>
      <c r="G41" s="1070">
        <v>90164362</v>
      </c>
      <c r="H41" s="690">
        <f>(H39*0.7)-G39</f>
        <v>-18934516.020000003</v>
      </c>
      <c r="I41" s="686"/>
      <c r="J41" s="353"/>
      <c r="K41" s="353"/>
      <c r="L41" s="353"/>
      <c r="M41" s="353"/>
    </row>
    <row r="42" spans="1:13" x14ac:dyDescent="0.25">
      <c r="A42" s="16"/>
      <c r="B42" s="16"/>
      <c r="C42" s="16"/>
      <c r="D42" s="16"/>
      <c r="E42" s="16"/>
      <c r="F42" s="16"/>
      <c r="G42" s="16"/>
      <c r="H42" s="16"/>
      <c r="I42" s="16"/>
      <c r="J42" s="16"/>
      <c r="K42" s="16"/>
      <c r="L42" s="16"/>
      <c r="M42" s="16"/>
    </row>
    <row r="43" spans="1:13" x14ac:dyDescent="0.25">
      <c r="A43" s="16"/>
      <c r="B43" s="16"/>
      <c r="C43" s="16"/>
      <c r="D43" s="16"/>
      <c r="E43" s="16"/>
      <c r="F43" s="16"/>
      <c r="G43" s="16"/>
      <c r="H43" s="16"/>
      <c r="I43" s="16"/>
      <c r="J43" s="16"/>
      <c r="K43" s="16"/>
      <c r="L43" s="16"/>
      <c r="M43" s="16"/>
    </row>
    <row r="44" spans="1:13" x14ac:dyDescent="0.25">
      <c r="A44" s="16"/>
      <c r="B44" s="16"/>
      <c r="C44" s="16"/>
      <c r="D44" s="16"/>
      <c r="E44" s="16"/>
      <c r="F44" s="16"/>
      <c r="G44" s="16"/>
      <c r="H44" s="16"/>
      <c r="I44" s="16"/>
      <c r="J44" s="16"/>
      <c r="K44" s="16"/>
      <c r="L44" s="16"/>
      <c r="M44" s="16"/>
    </row>
    <row r="45" spans="1:13" x14ac:dyDescent="0.25">
      <c r="A45" s="16"/>
      <c r="B45" s="16"/>
      <c r="C45" s="16"/>
      <c r="D45" s="16"/>
      <c r="E45" s="16"/>
      <c r="F45" s="16"/>
      <c r="G45" s="16"/>
      <c r="H45" s="16"/>
      <c r="I45" s="16"/>
      <c r="J45" s="16"/>
      <c r="K45" s="16"/>
      <c r="L45" s="16"/>
      <c r="M45" s="16"/>
    </row>
    <row r="46" spans="1:13" x14ac:dyDescent="0.25">
      <c r="A46" s="16"/>
      <c r="B46" s="16"/>
      <c r="C46" s="16"/>
      <c r="D46" s="16"/>
      <c r="E46" s="16"/>
      <c r="F46" s="16"/>
      <c r="G46" s="16"/>
      <c r="H46" s="16"/>
      <c r="I46" s="16"/>
      <c r="J46" s="16"/>
      <c r="K46" s="16"/>
      <c r="L46" s="16"/>
      <c r="M46" s="16"/>
    </row>
    <row r="47" spans="1:13" x14ac:dyDescent="0.25">
      <c r="A47" s="16"/>
      <c r="B47" s="16"/>
      <c r="C47" s="16"/>
      <c r="D47" s="16"/>
      <c r="E47" s="16"/>
      <c r="F47" s="16"/>
      <c r="G47" s="16"/>
      <c r="H47" s="16"/>
      <c r="I47" s="16"/>
      <c r="J47" s="16"/>
      <c r="K47" s="16"/>
      <c r="L47" s="16"/>
      <c r="M47" s="16"/>
    </row>
    <row r="48" spans="1:13" x14ac:dyDescent="0.25">
      <c r="A48" s="16"/>
      <c r="B48" s="16"/>
      <c r="C48" s="16"/>
      <c r="D48" s="16"/>
      <c r="E48" s="16"/>
      <c r="F48" s="16"/>
      <c r="G48" s="16"/>
      <c r="H48" s="16"/>
      <c r="I48" s="16"/>
      <c r="J48" s="16"/>
      <c r="K48" s="16"/>
      <c r="L48" s="16"/>
      <c r="M48" s="16"/>
    </row>
    <row r="49" spans="1:13" x14ac:dyDescent="0.25">
      <c r="A49" s="16"/>
      <c r="B49" s="16"/>
      <c r="C49" s="16"/>
      <c r="D49" s="16"/>
      <c r="E49" s="16"/>
      <c r="F49" s="16"/>
      <c r="G49" s="16"/>
      <c r="H49" s="16"/>
      <c r="I49" s="16"/>
      <c r="J49" s="16"/>
      <c r="K49" s="16"/>
      <c r="L49" s="16"/>
      <c r="M49" s="16"/>
    </row>
    <row r="50" spans="1:13" x14ac:dyDescent="0.25">
      <c r="A50" s="16"/>
      <c r="B50" s="16"/>
      <c r="C50" s="16"/>
      <c r="D50" s="16"/>
      <c r="E50" s="16"/>
      <c r="F50" s="16"/>
      <c r="G50" s="16"/>
      <c r="H50" s="16"/>
      <c r="I50" s="16"/>
      <c r="J50" s="16"/>
      <c r="K50" s="16"/>
      <c r="L50" s="16"/>
      <c r="M50" s="16"/>
    </row>
    <row r="51" spans="1:13" x14ac:dyDescent="0.25">
      <c r="A51" s="16"/>
      <c r="B51" s="16"/>
      <c r="C51" s="16"/>
      <c r="D51" s="16"/>
      <c r="E51" s="16"/>
      <c r="F51" s="16"/>
      <c r="G51" s="16"/>
      <c r="H51" s="16"/>
      <c r="I51" s="16"/>
      <c r="J51" s="16"/>
      <c r="K51" s="16"/>
      <c r="L51" s="16"/>
      <c r="M51" s="16"/>
    </row>
    <row r="52" spans="1:13" x14ac:dyDescent="0.25">
      <c r="A52" s="16"/>
      <c r="B52" s="16"/>
      <c r="C52" s="16"/>
      <c r="D52" s="16"/>
      <c r="E52" s="16"/>
      <c r="F52" s="16"/>
      <c r="G52" s="16"/>
      <c r="H52" s="16"/>
      <c r="I52" s="16"/>
      <c r="J52" s="16"/>
      <c r="K52" s="16"/>
      <c r="L52" s="16"/>
      <c r="M52" s="16"/>
    </row>
    <row r="53" spans="1:13" x14ac:dyDescent="0.25">
      <c r="A53" s="16"/>
      <c r="B53" s="16"/>
      <c r="C53" s="16"/>
      <c r="D53" s="16"/>
      <c r="E53" s="16"/>
      <c r="F53" s="16"/>
      <c r="G53" s="16"/>
      <c r="H53" s="16"/>
      <c r="I53" s="16"/>
      <c r="J53" s="16"/>
      <c r="K53" s="16"/>
      <c r="L53" s="16"/>
      <c r="M53" s="16"/>
    </row>
    <row r="54" spans="1:13" x14ac:dyDescent="0.25">
      <c r="A54" s="16"/>
      <c r="B54" s="16"/>
      <c r="C54" s="16"/>
      <c r="D54" s="16"/>
      <c r="E54" s="16"/>
      <c r="F54" s="16"/>
      <c r="G54" s="16"/>
      <c r="H54" s="16"/>
      <c r="I54" s="16"/>
      <c r="J54" s="16"/>
      <c r="K54" s="16"/>
      <c r="L54" s="16"/>
      <c r="M54" s="16"/>
    </row>
    <row r="55" spans="1:13" x14ac:dyDescent="0.25">
      <c r="A55" s="16"/>
      <c r="B55" s="16"/>
      <c r="C55" s="16"/>
      <c r="D55" s="16"/>
      <c r="E55" s="16"/>
      <c r="F55" s="16"/>
      <c r="G55" s="16"/>
      <c r="H55" s="16"/>
      <c r="I55" s="16"/>
      <c r="J55" s="16"/>
      <c r="K55" s="16"/>
      <c r="L55" s="16"/>
      <c r="M55" s="16"/>
    </row>
    <row r="56" spans="1:13" x14ac:dyDescent="0.25">
      <c r="A56" s="16"/>
      <c r="B56" s="16"/>
      <c r="C56" s="16"/>
      <c r="D56" s="16"/>
      <c r="E56" s="16"/>
      <c r="F56" s="16"/>
      <c r="G56" s="16"/>
      <c r="H56" s="16"/>
      <c r="I56" s="16"/>
      <c r="J56" s="16"/>
      <c r="K56" s="16"/>
      <c r="L56" s="16"/>
      <c r="M56" s="16"/>
    </row>
    <row r="57" spans="1:13" x14ac:dyDescent="0.25">
      <c r="A57" s="16"/>
      <c r="B57" s="16"/>
      <c r="C57" s="16"/>
      <c r="D57" s="16"/>
      <c r="E57" s="16"/>
      <c r="F57" s="16"/>
      <c r="G57" s="16"/>
      <c r="H57" s="16"/>
      <c r="I57" s="16"/>
      <c r="J57" s="16"/>
      <c r="K57" s="16"/>
      <c r="L57" s="16"/>
      <c r="M57" s="16"/>
    </row>
    <row r="58" spans="1:13" x14ac:dyDescent="0.25">
      <c r="A58" s="16"/>
      <c r="B58" s="16"/>
      <c r="C58" s="16"/>
      <c r="D58" s="16"/>
      <c r="E58" s="16"/>
      <c r="F58" s="16"/>
      <c r="G58" s="16"/>
      <c r="H58" s="16"/>
      <c r="I58" s="16"/>
      <c r="J58" s="16"/>
      <c r="K58" s="16"/>
      <c r="L58" s="16"/>
      <c r="M58" s="16"/>
    </row>
    <row r="59" spans="1:13" x14ac:dyDescent="0.25">
      <c r="A59" s="16"/>
      <c r="B59" s="16"/>
      <c r="C59" s="16"/>
      <c r="D59" s="16"/>
      <c r="E59" s="16"/>
      <c r="F59" s="16"/>
      <c r="G59" s="16"/>
      <c r="H59" s="16"/>
      <c r="I59" s="16"/>
      <c r="J59" s="16"/>
      <c r="K59" s="16"/>
      <c r="L59" s="16"/>
      <c r="M59" s="16"/>
    </row>
    <row r="60" spans="1:13" x14ac:dyDescent="0.25">
      <c r="A60" s="16"/>
      <c r="B60" s="16"/>
      <c r="C60" s="16"/>
      <c r="D60" s="16"/>
      <c r="E60" s="16"/>
      <c r="F60" s="16"/>
      <c r="G60" s="16"/>
      <c r="H60" s="16"/>
      <c r="I60" s="16"/>
      <c r="J60" s="16"/>
      <c r="K60" s="16"/>
      <c r="L60" s="16"/>
      <c r="M60" s="16"/>
    </row>
    <row r="61" spans="1:13" x14ac:dyDescent="0.25">
      <c r="A61" s="16"/>
      <c r="B61" s="16"/>
      <c r="C61" s="16"/>
      <c r="D61" s="16"/>
      <c r="E61" s="16"/>
      <c r="F61" s="16"/>
      <c r="G61" s="16"/>
      <c r="H61" s="16"/>
      <c r="I61" s="16"/>
      <c r="J61" s="16"/>
      <c r="K61" s="16"/>
      <c r="L61" s="16"/>
      <c r="M61" s="16"/>
    </row>
    <row r="62" spans="1:13" x14ac:dyDescent="0.25">
      <c r="A62" s="16"/>
      <c r="B62" s="16"/>
      <c r="C62" s="16"/>
      <c r="D62" s="16"/>
      <c r="E62" s="16"/>
      <c r="F62" s="16"/>
      <c r="G62" s="16"/>
      <c r="H62" s="16"/>
      <c r="I62" s="16"/>
      <c r="J62" s="16"/>
      <c r="K62" s="16"/>
      <c r="L62" s="16"/>
      <c r="M62" s="16"/>
    </row>
    <row r="63" spans="1:13" x14ac:dyDescent="0.25">
      <c r="A63" s="16"/>
      <c r="B63" s="16"/>
      <c r="C63" s="16"/>
      <c r="D63" s="16"/>
      <c r="E63" s="16"/>
      <c r="F63" s="16"/>
      <c r="G63" s="16"/>
      <c r="H63" s="16"/>
      <c r="I63" s="16"/>
      <c r="J63" s="16"/>
      <c r="K63" s="16"/>
      <c r="L63" s="16"/>
      <c r="M63" s="16"/>
    </row>
    <row r="64" spans="1:13" x14ac:dyDescent="0.25">
      <c r="A64" s="16"/>
      <c r="B64" s="16"/>
      <c r="C64" s="16"/>
      <c r="D64" s="16"/>
      <c r="E64" s="16"/>
      <c r="F64" s="16"/>
      <c r="G64" s="16"/>
      <c r="H64" s="16"/>
      <c r="I64" s="16"/>
      <c r="J64" s="16"/>
      <c r="K64" s="16"/>
      <c r="L64" s="16"/>
      <c r="M64" s="16"/>
    </row>
    <row r="65" spans="1:13" x14ac:dyDescent="0.25">
      <c r="A65" s="16"/>
      <c r="B65" s="16"/>
      <c r="C65" s="16"/>
      <c r="D65" s="16"/>
      <c r="E65" s="16"/>
      <c r="F65" s="16"/>
      <c r="G65" s="16"/>
      <c r="H65" s="16"/>
      <c r="I65" s="16"/>
      <c r="J65" s="16"/>
      <c r="K65" s="16"/>
      <c r="L65" s="16"/>
      <c r="M65" s="16"/>
    </row>
    <row r="66" spans="1:13" x14ac:dyDescent="0.25">
      <c r="A66" s="16"/>
      <c r="B66" s="16"/>
      <c r="C66" s="16"/>
      <c r="D66" s="16"/>
      <c r="E66" s="16"/>
      <c r="F66" s="16"/>
      <c r="G66" s="16"/>
      <c r="H66" s="16"/>
      <c r="I66" s="16"/>
      <c r="J66" s="16"/>
      <c r="K66" s="16"/>
      <c r="L66" s="16"/>
      <c r="M66" s="16"/>
    </row>
    <row r="67" spans="1:13" x14ac:dyDescent="0.25">
      <c r="A67" s="16"/>
      <c r="B67" s="16"/>
      <c r="C67" s="16"/>
      <c r="D67" s="16"/>
      <c r="E67" s="16"/>
      <c r="F67" s="16"/>
      <c r="G67" s="16"/>
      <c r="H67" s="16"/>
      <c r="I67" s="16"/>
      <c r="J67" s="16"/>
      <c r="K67" s="16"/>
      <c r="L67" s="16"/>
      <c r="M67" s="16"/>
    </row>
    <row r="68" spans="1:13" x14ac:dyDescent="0.25">
      <c r="A68" s="16"/>
      <c r="B68" s="16"/>
      <c r="C68" s="16"/>
      <c r="D68" s="16"/>
      <c r="E68" s="16"/>
      <c r="F68" s="16"/>
      <c r="G68" s="16"/>
      <c r="H68" s="16"/>
      <c r="I68" s="16"/>
      <c r="J68" s="16"/>
      <c r="K68" s="16"/>
      <c r="L68" s="16"/>
      <c r="M68" s="16"/>
    </row>
    <row r="69" spans="1:13" x14ac:dyDescent="0.25">
      <c r="A69" s="16"/>
      <c r="B69" s="16"/>
      <c r="C69" s="16"/>
      <c r="D69" s="16"/>
      <c r="E69" s="16"/>
      <c r="F69" s="16"/>
      <c r="G69" s="16"/>
      <c r="H69" s="16"/>
      <c r="I69" s="16"/>
      <c r="J69" s="16"/>
      <c r="K69" s="16"/>
      <c r="L69" s="16"/>
      <c r="M69" s="16"/>
    </row>
    <row r="70" spans="1:13" x14ac:dyDescent="0.25">
      <c r="A70" s="16"/>
      <c r="B70" s="16"/>
      <c r="C70" s="16"/>
      <c r="D70" s="16"/>
      <c r="E70" s="16"/>
      <c r="F70" s="16"/>
      <c r="G70" s="16"/>
      <c r="H70" s="16"/>
      <c r="I70" s="16"/>
      <c r="J70" s="16"/>
      <c r="K70" s="16"/>
      <c r="L70" s="16"/>
      <c r="M70" s="16"/>
    </row>
    <row r="71" spans="1:13" x14ac:dyDescent="0.25">
      <c r="A71" s="16"/>
      <c r="B71" s="16"/>
      <c r="C71" s="16"/>
      <c r="D71" s="16"/>
      <c r="E71" s="16"/>
      <c r="F71" s="16"/>
      <c r="G71" s="16"/>
      <c r="H71" s="16"/>
      <c r="I71" s="16"/>
      <c r="J71" s="16"/>
      <c r="K71" s="16"/>
      <c r="L71" s="16"/>
      <c r="M71" s="16"/>
    </row>
    <row r="72" spans="1:13" x14ac:dyDescent="0.25">
      <c r="A72" s="16"/>
      <c r="B72" s="16"/>
      <c r="C72" s="16"/>
      <c r="D72" s="16"/>
      <c r="E72" s="16"/>
      <c r="F72" s="16"/>
      <c r="G72" s="16"/>
      <c r="H72" s="16"/>
      <c r="I72" s="16"/>
      <c r="J72" s="16"/>
      <c r="K72" s="16"/>
      <c r="L72" s="16"/>
      <c r="M72" s="16"/>
    </row>
    <row r="73" spans="1:13" x14ac:dyDescent="0.25">
      <c r="A73" s="16"/>
      <c r="B73" s="16"/>
      <c r="C73" s="16"/>
      <c r="D73" s="16"/>
      <c r="E73" s="16"/>
      <c r="F73" s="16"/>
      <c r="G73" s="16"/>
      <c r="H73" s="16"/>
      <c r="I73" s="16"/>
      <c r="J73" s="16"/>
      <c r="K73" s="16"/>
      <c r="L73" s="16"/>
      <c r="M73" s="16"/>
    </row>
    <row r="74" spans="1:13" x14ac:dyDescent="0.25">
      <c r="A74" s="16"/>
      <c r="B74" s="16"/>
      <c r="C74" s="16"/>
      <c r="D74" s="16"/>
      <c r="E74" s="16"/>
      <c r="F74" s="16"/>
      <c r="G74" s="16"/>
      <c r="H74" s="16"/>
      <c r="I74" s="16"/>
      <c r="J74" s="16"/>
      <c r="K74" s="16"/>
      <c r="L74" s="16"/>
      <c r="M74" s="16"/>
    </row>
    <row r="75" spans="1:13" x14ac:dyDescent="0.25">
      <c r="A75" s="16"/>
      <c r="B75" s="16"/>
      <c r="C75" s="16"/>
      <c r="D75" s="16"/>
      <c r="E75" s="16"/>
      <c r="F75" s="16"/>
      <c r="G75" s="16"/>
      <c r="H75" s="16"/>
      <c r="I75" s="16"/>
      <c r="J75" s="16"/>
      <c r="K75" s="16"/>
      <c r="L75" s="16"/>
      <c r="M75" s="16"/>
    </row>
    <row r="76" spans="1:13" x14ac:dyDescent="0.25">
      <c r="A76" s="16"/>
      <c r="B76" s="16"/>
      <c r="C76" s="16"/>
      <c r="D76" s="16"/>
      <c r="E76" s="16"/>
      <c r="F76" s="16"/>
      <c r="G76" s="16"/>
      <c r="H76" s="16"/>
      <c r="I76" s="16"/>
      <c r="J76" s="16"/>
      <c r="K76" s="16"/>
      <c r="L76" s="16"/>
      <c r="M76" s="16"/>
    </row>
    <row r="77" spans="1:13" x14ac:dyDescent="0.25">
      <c r="A77" s="16"/>
      <c r="B77" s="16"/>
      <c r="C77" s="16"/>
      <c r="D77" s="16"/>
      <c r="E77" s="16"/>
      <c r="F77" s="16"/>
      <c r="G77" s="16"/>
      <c r="H77" s="16"/>
      <c r="I77" s="16"/>
      <c r="J77" s="16"/>
      <c r="K77" s="16"/>
      <c r="L77" s="16"/>
      <c r="M77" s="16"/>
    </row>
    <row r="78" spans="1:13" x14ac:dyDescent="0.25">
      <c r="A78" s="16"/>
      <c r="B78" s="16"/>
      <c r="C78" s="16"/>
      <c r="D78" s="16"/>
      <c r="E78" s="16"/>
      <c r="F78" s="16"/>
      <c r="G78" s="16"/>
      <c r="H78" s="16"/>
      <c r="I78" s="16"/>
      <c r="J78" s="16"/>
      <c r="K78" s="16"/>
      <c r="L78" s="16"/>
      <c r="M78" s="16"/>
    </row>
    <row r="79" spans="1:13" x14ac:dyDescent="0.25">
      <c r="A79" s="16"/>
      <c r="B79" s="16"/>
      <c r="C79" s="16"/>
      <c r="D79" s="16"/>
      <c r="E79" s="16"/>
      <c r="F79" s="16"/>
      <c r="G79" s="16"/>
      <c r="H79" s="16"/>
      <c r="I79" s="16"/>
      <c r="J79" s="16"/>
      <c r="K79" s="16"/>
      <c r="L79" s="16"/>
      <c r="M79" s="16"/>
    </row>
    <row r="80" spans="1:13" x14ac:dyDescent="0.25">
      <c r="A80" s="16"/>
      <c r="B80" s="16"/>
      <c r="C80" s="16"/>
      <c r="D80" s="16"/>
      <c r="E80" s="16"/>
      <c r="F80" s="16"/>
      <c r="G80" s="16"/>
      <c r="H80" s="16"/>
      <c r="I80" s="16"/>
      <c r="J80" s="16"/>
      <c r="K80" s="16"/>
      <c r="L80" s="16"/>
      <c r="M80" s="16"/>
    </row>
    <row r="81" spans="1:13" ht="38.25" customHeight="1" x14ac:dyDescent="0.25">
      <c r="A81" s="16"/>
      <c r="B81" s="16"/>
      <c r="C81" s="16"/>
      <c r="D81" s="16"/>
      <c r="E81" s="16"/>
      <c r="F81" s="16"/>
      <c r="G81" s="16"/>
      <c r="H81" s="16"/>
      <c r="I81" s="16"/>
      <c r="J81" s="16"/>
      <c r="K81" s="16"/>
      <c r="L81" s="16"/>
      <c r="M81" s="16"/>
    </row>
    <row r="82" spans="1:13" x14ac:dyDescent="0.25">
      <c r="A82" s="16"/>
      <c r="B82" s="16"/>
      <c r="C82" s="16"/>
      <c r="D82" s="16"/>
      <c r="E82" s="16"/>
      <c r="F82" s="16"/>
      <c r="G82" s="16"/>
      <c r="H82" s="16"/>
      <c r="I82" s="16"/>
      <c r="J82" s="16"/>
      <c r="K82" s="16"/>
      <c r="L82" s="16"/>
      <c r="M82" s="16"/>
    </row>
    <row r="83" spans="1:13" x14ac:dyDescent="0.25">
      <c r="A83" s="16"/>
      <c r="B83" s="16"/>
      <c r="C83" s="16"/>
      <c r="D83" s="16"/>
      <c r="E83" s="16"/>
      <c r="F83" s="16"/>
      <c r="G83" s="16"/>
      <c r="H83" s="16"/>
      <c r="I83" s="16"/>
      <c r="J83" s="16"/>
      <c r="K83" s="16"/>
      <c r="L83" s="16"/>
      <c r="M83" s="16"/>
    </row>
    <row r="84" spans="1:13" x14ac:dyDescent="0.25">
      <c r="A84" s="16"/>
      <c r="B84" s="16"/>
      <c r="C84" s="16"/>
      <c r="D84" s="16"/>
      <c r="E84" s="16"/>
      <c r="F84" s="16"/>
      <c r="G84" s="16"/>
      <c r="H84" s="16"/>
      <c r="I84" s="16"/>
      <c r="J84" s="16"/>
      <c r="K84" s="16"/>
      <c r="L84" s="16"/>
      <c r="M84" s="16"/>
    </row>
    <row r="85" spans="1:13" x14ac:dyDescent="0.25">
      <c r="A85" s="16"/>
      <c r="B85" s="16"/>
      <c r="C85" s="16"/>
      <c r="D85" s="16"/>
      <c r="E85" s="16"/>
      <c r="F85" s="16"/>
      <c r="G85" s="16"/>
      <c r="H85" s="16"/>
      <c r="I85" s="16"/>
      <c r="J85" s="16"/>
      <c r="K85" s="16"/>
      <c r="L85" s="16"/>
      <c r="M85" s="16"/>
    </row>
    <row r="86" spans="1:13" x14ac:dyDescent="0.25">
      <c r="A86" s="16"/>
      <c r="B86" s="16"/>
      <c r="C86" s="16"/>
      <c r="D86" s="16"/>
      <c r="E86" s="16"/>
      <c r="F86" s="16"/>
      <c r="G86" s="16"/>
      <c r="H86" s="16"/>
      <c r="I86" s="16"/>
      <c r="J86" s="16"/>
      <c r="K86" s="16"/>
      <c r="L86" s="16"/>
      <c r="M86" s="16"/>
    </row>
    <row r="87" spans="1:13" x14ac:dyDescent="0.25">
      <c r="A87" s="16"/>
      <c r="B87" s="16"/>
      <c r="C87" s="16"/>
      <c r="D87" s="16"/>
      <c r="E87" s="16"/>
      <c r="F87" s="16"/>
      <c r="G87" s="16"/>
      <c r="H87" s="16"/>
      <c r="I87" s="16"/>
      <c r="J87" s="16"/>
      <c r="K87" s="16"/>
      <c r="L87" s="16"/>
      <c r="M87" s="16"/>
    </row>
    <row r="88" spans="1:13" x14ac:dyDescent="0.25">
      <c r="A88" s="16"/>
      <c r="B88" s="16"/>
      <c r="C88" s="16"/>
      <c r="D88" s="16"/>
      <c r="E88" s="16"/>
      <c r="F88" s="16"/>
      <c r="G88" s="16"/>
      <c r="H88" s="16"/>
      <c r="I88" s="16"/>
      <c r="J88" s="16"/>
      <c r="K88" s="16"/>
      <c r="L88" s="16"/>
      <c r="M88" s="16"/>
    </row>
    <row r="89" spans="1:13" x14ac:dyDescent="0.25">
      <c r="A89" s="16"/>
      <c r="B89" s="16"/>
      <c r="C89" s="16"/>
      <c r="D89" s="16"/>
      <c r="E89" s="16"/>
      <c r="F89" s="16"/>
      <c r="G89" s="16"/>
      <c r="H89" s="16"/>
      <c r="I89" s="16"/>
      <c r="J89" s="16"/>
      <c r="K89" s="16"/>
      <c r="L89" s="16"/>
      <c r="M89" s="16"/>
    </row>
  </sheetData>
  <mergeCells count="9">
    <mergeCell ref="A1:G1"/>
    <mergeCell ref="A2:G2"/>
    <mergeCell ref="A3:G3"/>
    <mergeCell ref="A4:G4"/>
    <mergeCell ref="A6:A8"/>
    <mergeCell ref="C6:C8"/>
    <mergeCell ref="D6:F7"/>
    <mergeCell ref="G6:G8"/>
    <mergeCell ref="B6:B8"/>
  </mergeCells>
  <printOptions horizontalCentered="1"/>
  <pageMargins left="0.35433070866141736" right="0.23622047244094491" top="0.74803149606299213" bottom="0.74803149606299213" header="0.31496062992125984" footer="0.31496062992125984"/>
  <pageSetup paperSize="14" scale="81" firstPageNumber="494" fitToHeight="0" orientation="portrait" useFirstPageNumber="1" horizontalDpi="360" verticalDpi="360" r:id="rId1"/>
  <headerFooter scaleWithDoc="0">
    <oddFooter>&amp;C&amp;"Candara,Regular"&amp;10Page &amp;"Candara,Bold"&amp;P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M107"/>
  <sheetViews>
    <sheetView view="pageBreakPreview" topLeftCell="A4" zoomScaleNormal="130" zoomScaleSheetLayoutView="100" workbookViewId="0">
      <pane xSplit="2" ySplit="5" topLeftCell="C55" activePane="bottomRight" state="frozen"/>
      <selection activeCell="C40" sqref="C40"/>
      <selection pane="topRight" activeCell="C40" sqref="C40"/>
      <selection pane="bottomLeft" activeCell="C40" sqref="C40"/>
      <selection pane="bottomRight" activeCell="H69" sqref="H69"/>
    </sheetView>
  </sheetViews>
  <sheetFormatPr defaultColWidth="9.140625" defaultRowHeight="15" x14ac:dyDescent="0.25"/>
  <cols>
    <col min="1" max="1" width="37.7109375" style="41" customWidth="1"/>
    <col min="2" max="2" width="12.7109375" style="41" customWidth="1"/>
    <col min="3" max="6" width="14.7109375" style="41" customWidth="1"/>
    <col min="7" max="7" width="15.5703125" style="41" bestFit="1" customWidth="1"/>
    <col min="8" max="8" width="15.28515625" style="755" bestFit="1" customWidth="1"/>
    <col min="9" max="9" width="15.42578125" style="49" bestFit="1" customWidth="1"/>
    <col min="10" max="10" width="15.85546875" style="49" customWidth="1"/>
    <col min="11" max="11" width="14.42578125" style="41" bestFit="1" customWidth="1"/>
    <col min="12" max="12" width="14" style="41" customWidth="1"/>
    <col min="13" max="13" width="14.28515625" style="41" bestFit="1" customWidth="1"/>
    <col min="14" max="16384" width="9.140625" style="41"/>
  </cols>
  <sheetData>
    <row r="1" spans="1:10" ht="15" customHeight="1" x14ac:dyDescent="0.25">
      <c r="A1" s="1071" t="s">
        <v>807</v>
      </c>
      <c r="B1" s="1071"/>
      <c r="C1" s="1071"/>
      <c r="D1" s="1071"/>
      <c r="E1" s="1071"/>
      <c r="F1" s="1071"/>
      <c r="G1" s="1071"/>
    </row>
    <row r="2" spans="1:10" ht="18.75" customHeight="1" x14ac:dyDescent="0.3">
      <c r="A2" s="1072" t="s">
        <v>232</v>
      </c>
      <c r="B2" s="1072"/>
      <c r="C2" s="1072"/>
      <c r="D2" s="1072"/>
      <c r="E2" s="1072"/>
      <c r="F2" s="1072"/>
      <c r="G2" s="1072"/>
    </row>
    <row r="3" spans="1:10" ht="15.75" customHeight="1" x14ac:dyDescent="0.25">
      <c r="A3" s="1073" t="s">
        <v>233</v>
      </c>
      <c r="B3" s="1073"/>
      <c r="C3" s="1073"/>
      <c r="D3" s="1073"/>
      <c r="E3" s="1073"/>
      <c r="F3" s="1073"/>
      <c r="G3" s="1073"/>
    </row>
    <row r="4" spans="1:10" ht="15" customHeight="1" x14ac:dyDescent="0.25">
      <c r="A4" s="1074" t="s">
        <v>0</v>
      </c>
      <c r="B4" s="1075"/>
      <c r="C4" s="1075"/>
      <c r="D4" s="1075"/>
      <c r="E4" s="1075"/>
      <c r="F4" s="1075"/>
      <c r="G4" s="1075"/>
    </row>
    <row r="5" spans="1:10" x14ac:dyDescent="0.25">
      <c r="A5" s="42"/>
      <c r="B5" s="42"/>
      <c r="C5" s="42"/>
      <c r="D5" s="42"/>
      <c r="E5" s="42"/>
      <c r="F5" s="42"/>
      <c r="G5" s="42"/>
      <c r="J5" s="41"/>
    </row>
    <row r="6" spans="1:10" s="43" customFormat="1" ht="12" x14ac:dyDescent="0.2">
      <c r="A6" s="1099" t="s">
        <v>1</v>
      </c>
      <c r="B6" s="1099" t="s">
        <v>2</v>
      </c>
      <c r="C6" s="1099" t="s">
        <v>310</v>
      </c>
      <c r="D6" s="1100" t="s">
        <v>307</v>
      </c>
      <c r="E6" s="1100"/>
      <c r="F6" s="1100"/>
      <c r="G6" s="1099" t="s">
        <v>311</v>
      </c>
      <c r="H6" s="756"/>
      <c r="I6" s="1046"/>
    </row>
    <row r="7" spans="1:10" s="43" customFormat="1" ht="12" x14ac:dyDescent="0.2">
      <c r="A7" s="1099"/>
      <c r="B7" s="1099"/>
      <c r="C7" s="1099"/>
      <c r="D7" s="1100"/>
      <c r="E7" s="1100"/>
      <c r="F7" s="1100"/>
      <c r="G7" s="1099"/>
      <c r="H7" s="756"/>
      <c r="I7" s="1046"/>
    </row>
    <row r="8" spans="1:10" s="43" customFormat="1" ht="24" x14ac:dyDescent="0.2">
      <c r="A8" s="1099"/>
      <c r="B8" s="1099"/>
      <c r="C8" s="1099"/>
      <c r="D8" s="359" t="s">
        <v>308</v>
      </c>
      <c r="E8" s="359" t="s">
        <v>309</v>
      </c>
      <c r="F8" s="359" t="s">
        <v>3</v>
      </c>
      <c r="G8" s="1099"/>
      <c r="H8" s="756"/>
      <c r="I8" s="1046"/>
    </row>
    <row r="9" spans="1:10" s="70" customFormat="1" ht="11.25" x14ac:dyDescent="0.25">
      <c r="A9" s="360">
        <v>1</v>
      </c>
      <c r="B9" s="360">
        <v>2</v>
      </c>
      <c r="C9" s="360">
        <v>3</v>
      </c>
      <c r="D9" s="360">
        <v>4</v>
      </c>
      <c r="E9" s="360">
        <v>5</v>
      </c>
      <c r="F9" s="360">
        <v>6</v>
      </c>
      <c r="G9" s="360">
        <v>7</v>
      </c>
      <c r="H9" s="757" t="s">
        <v>497</v>
      </c>
      <c r="I9" s="1047"/>
    </row>
    <row r="10" spans="1:10" ht="15" customHeight="1" x14ac:dyDescent="0.25">
      <c r="A10" s="362" t="s">
        <v>4</v>
      </c>
      <c r="B10" s="362"/>
      <c r="C10" s="363"/>
      <c r="D10" s="363"/>
      <c r="E10" s="363"/>
      <c r="F10" s="363"/>
      <c r="G10" s="363"/>
      <c r="H10" s="385">
        <v>17</v>
      </c>
      <c r="J10" s="41"/>
    </row>
    <row r="11" spans="1:10" ht="15" customHeight="1" x14ac:dyDescent="0.25">
      <c r="A11" s="365" t="s">
        <v>5</v>
      </c>
      <c r="B11" s="365"/>
      <c r="C11" s="366"/>
      <c r="D11" s="366"/>
      <c r="E11" s="366"/>
      <c r="F11" s="366"/>
      <c r="G11" s="366"/>
      <c r="H11" s="758"/>
      <c r="J11" s="41"/>
    </row>
    <row r="12" spans="1:10" ht="15" customHeight="1" x14ac:dyDescent="0.25">
      <c r="A12" s="368" t="str">
        <f>"Salaries and Wages - Regular (" &amp; H10 &amp; ")"</f>
        <v>Salaries and Wages - Regular (17)</v>
      </c>
      <c r="B12" s="352" t="s">
        <v>6</v>
      </c>
      <c r="C12" s="369">
        <v>7178902.25</v>
      </c>
      <c r="D12" s="369">
        <v>3956039.5</v>
      </c>
      <c r="E12" s="369">
        <f>F12-D12</f>
        <v>5014706.8999999985</v>
      </c>
      <c r="F12" s="369">
        <v>8970746.3999999985</v>
      </c>
      <c r="G12" s="369">
        <f>H12+I12</f>
        <v>9444369.5999999996</v>
      </c>
      <c r="H12" s="370">
        <v>9240369.5999999996</v>
      </c>
      <c r="I12" s="49">
        <f>G14/2</f>
        <v>204000</v>
      </c>
      <c r="J12" s="41"/>
    </row>
    <row r="13" spans="1:10" ht="15" customHeight="1" x14ac:dyDescent="0.25">
      <c r="A13" s="365" t="s">
        <v>7</v>
      </c>
      <c r="B13" s="365"/>
      <c r="C13" s="366"/>
      <c r="D13" s="366"/>
      <c r="E13" s="366"/>
      <c r="F13" s="366"/>
      <c r="G13" s="366"/>
      <c r="H13" s="758"/>
      <c r="J13" s="41"/>
    </row>
    <row r="14" spans="1:10" ht="15" customHeight="1" x14ac:dyDescent="0.25">
      <c r="A14" s="368" t="s">
        <v>8</v>
      </c>
      <c r="B14" s="352" t="s">
        <v>9</v>
      </c>
      <c r="C14" s="369">
        <v>369000</v>
      </c>
      <c r="D14" s="369">
        <v>192000</v>
      </c>
      <c r="E14" s="369">
        <f t="shared" ref="E14:E17" si="0">F14-D14</f>
        <v>216000</v>
      </c>
      <c r="F14" s="369">
        <v>408000</v>
      </c>
      <c r="G14" s="369">
        <f>param_pera*CMO_PLATILLA_ITEMS*12</f>
        <v>408000</v>
      </c>
      <c r="H14" s="374"/>
      <c r="J14" s="41"/>
    </row>
    <row r="15" spans="1:10" ht="15" customHeight="1" x14ac:dyDescent="0.25">
      <c r="A15" s="368" t="s">
        <v>11</v>
      </c>
      <c r="B15" s="352" t="s">
        <v>12</v>
      </c>
      <c r="C15" s="369">
        <v>108000</v>
      </c>
      <c r="D15" s="369">
        <v>54000</v>
      </c>
      <c r="E15" s="369">
        <f t="shared" si="0"/>
        <v>54000</v>
      </c>
      <c r="F15" s="369">
        <v>108000</v>
      </c>
      <c r="G15" s="369">
        <f>H15*12</f>
        <v>108000</v>
      </c>
      <c r="H15" s="374">
        <v>9000</v>
      </c>
      <c r="J15" s="41"/>
    </row>
    <row r="16" spans="1:10" ht="15" customHeight="1" x14ac:dyDescent="0.25">
      <c r="A16" s="368" t="s">
        <v>13</v>
      </c>
      <c r="B16" s="352" t="s">
        <v>14</v>
      </c>
      <c r="C16" s="369">
        <v>108000</v>
      </c>
      <c r="D16" s="369">
        <v>54000</v>
      </c>
      <c r="E16" s="369">
        <f t="shared" si="0"/>
        <v>54000</v>
      </c>
      <c r="F16" s="369">
        <v>108000</v>
      </c>
      <c r="G16" s="369">
        <f>H16*12</f>
        <v>108000</v>
      </c>
      <c r="H16" s="374">
        <v>9000</v>
      </c>
      <c r="J16" s="41"/>
    </row>
    <row r="17" spans="1:11" ht="15" customHeight="1" x14ac:dyDescent="0.25">
      <c r="A17" s="368" t="s">
        <v>15</v>
      </c>
      <c r="B17" s="352" t="s">
        <v>16</v>
      </c>
      <c r="C17" s="369">
        <v>90000</v>
      </c>
      <c r="D17" s="369">
        <v>96000</v>
      </c>
      <c r="E17" s="369">
        <f t="shared" si="0"/>
        <v>6000</v>
      </c>
      <c r="F17" s="369">
        <v>102000</v>
      </c>
      <c r="G17" s="369">
        <f>param_uniform*CMO_PLATILLA_ITEMS</f>
        <v>102000</v>
      </c>
      <c r="H17" s="374"/>
      <c r="J17" s="41"/>
    </row>
    <row r="18" spans="1:11" ht="15" customHeight="1" x14ac:dyDescent="0.25">
      <c r="A18" s="368" t="s">
        <v>10</v>
      </c>
      <c r="B18" s="352" t="s">
        <v>175</v>
      </c>
      <c r="C18" s="369"/>
      <c r="D18" s="369"/>
      <c r="E18" s="369"/>
      <c r="F18" s="369"/>
      <c r="G18" s="369"/>
      <c r="H18" s="374"/>
      <c r="J18" s="41"/>
    </row>
    <row r="19" spans="1:11" ht="15" customHeight="1" x14ac:dyDescent="0.25">
      <c r="A19" s="373" t="s">
        <v>126</v>
      </c>
      <c r="B19" s="352" t="s">
        <v>125</v>
      </c>
      <c r="C19" s="369">
        <v>1225793.3899999999</v>
      </c>
      <c r="D19" s="369">
        <v>1415255.74</v>
      </c>
      <c r="E19" s="369">
        <f>F19-D19</f>
        <v>1084744.26</v>
      </c>
      <c r="F19" s="369">
        <v>2500000</v>
      </c>
      <c r="G19" s="369">
        <f>2000000+500000</f>
        <v>2500000</v>
      </c>
      <c r="H19" s="374"/>
      <c r="J19" s="41"/>
    </row>
    <row r="20" spans="1:11" ht="15" customHeight="1" x14ac:dyDescent="0.25">
      <c r="A20" s="368" t="s">
        <v>17</v>
      </c>
      <c r="B20" s="352" t="s">
        <v>18</v>
      </c>
      <c r="C20" s="369">
        <v>637496.19999999995</v>
      </c>
      <c r="D20" s="369"/>
      <c r="E20" s="369"/>
      <c r="F20" s="369">
        <v>747562.19999999984</v>
      </c>
      <c r="G20" s="369">
        <f>(H12/12)+I20</f>
        <v>872030.79999999993</v>
      </c>
      <c r="H20" s="374"/>
      <c r="I20" s="49">
        <f>G14/4</f>
        <v>102000</v>
      </c>
      <c r="J20" s="41"/>
      <c r="K20" s="41" t="s">
        <v>610</v>
      </c>
    </row>
    <row r="21" spans="1:11" ht="15" customHeight="1" x14ac:dyDescent="0.25">
      <c r="A21" s="368" t="s">
        <v>19</v>
      </c>
      <c r="B21" s="352" t="s">
        <v>20</v>
      </c>
      <c r="C21" s="369">
        <v>77000</v>
      </c>
      <c r="D21" s="369"/>
      <c r="E21" s="369"/>
      <c r="F21" s="369">
        <v>85000</v>
      </c>
      <c r="G21" s="369">
        <f>param_cash_gift*CMO_PLATILLA_ITEMS</f>
        <v>85000</v>
      </c>
      <c r="H21" s="374"/>
      <c r="J21" s="41"/>
    </row>
    <row r="22" spans="1:11" ht="15" customHeight="1" x14ac:dyDescent="0.25">
      <c r="A22" s="365" t="s">
        <v>21</v>
      </c>
      <c r="B22" s="365"/>
      <c r="C22" s="366"/>
      <c r="D22" s="366"/>
      <c r="E22" s="369"/>
      <c r="F22" s="366"/>
      <c r="G22" s="366"/>
      <c r="H22" s="374"/>
      <c r="J22" s="41"/>
    </row>
    <row r="23" spans="1:11" ht="15" customHeight="1" x14ac:dyDescent="0.25">
      <c r="A23" s="368" t="s">
        <v>22</v>
      </c>
      <c r="B23" s="352" t="s">
        <v>23</v>
      </c>
      <c r="C23" s="369">
        <v>837915.63</v>
      </c>
      <c r="D23" s="369">
        <v>451985.76</v>
      </c>
      <c r="E23" s="369">
        <f t="shared" ref="E23:E26" si="1">F23-D23</f>
        <v>624503.80799999973</v>
      </c>
      <c r="F23" s="369">
        <v>1076489.5679999997</v>
      </c>
      <c r="G23" s="369">
        <f>H12*12%</f>
        <v>1108844.352</v>
      </c>
      <c r="H23" s="374"/>
      <c r="J23" s="41"/>
    </row>
    <row r="24" spans="1:11" ht="15" customHeight="1" x14ac:dyDescent="0.25">
      <c r="A24" s="368" t="s">
        <v>24</v>
      </c>
      <c r="B24" s="352" t="s">
        <v>25</v>
      </c>
      <c r="C24" s="369">
        <v>16400</v>
      </c>
      <c r="D24" s="369">
        <v>8400</v>
      </c>
      <c r="E24" s="369">
        <f t="shared" si="1"/>
        <v>22200</v>
      </c>
      <c r="F24" s="369">
        <v>30600</v>
      </c>
      <c r="G24" s="369">
        <f>param_pagibig*CMO_PLATILLA_ITEMS*12</f>
        <v>30600</v>
      </c>
      <c r="H24" s="374"/>
      <c r="J24" s="41"/>
    </row>
    <row r="25" spans="1:11" ht="15" customHeight="1" x14ac:dyDescent="0.25">
      <c r="A25" s="368" t="s">
        <v>26</v>
      </c>
      <c r="B25" s="352" t="s">
        <v>27</v>
      </c>
      <c r="C25" s="369">
        <v>73430.22</v>
      </c>
      <c r="D25" s="369">
        <v>54620.53</v>
      </c>
      <c r="E25" s="369">
        <f t="shared" si="1"/>
        <v>120879.47</v>
      </c>
      <c r="F25" s="369">
        <v>175500</v>
      </c>
      <c r="G25" s="369">
        <f>ROUND(H25+(H25*0.1), -1)</f>
        <v>175870</v>
      </c>
      <c r="H25" s="374">
        <v>159886.12800000003</v>
      </c>
      <c r="J25" s="41"/>
    </row>
    <row r="26" spans="1:11" ht="15" customHeight="1" x14ac:dyDescent="0.25">
      <c r="A26" s="368" t="s">
        <v>28</v>
      </c>
      <c r="B26" s="352" t="s">
        <v>29</v>
      </c>
      <c r="C26" s="369">
        <v>17400</v>
      </c>
      <c r="D26" s="369">
        <v>9000</v>
      </c>
      <c r="E26" s="369">
        <f t="shared" si="1"/>
        <v>21600</v>
      </c>
      <c r="F26" s="369">
        <v>30600</v>
      </c>
      <c r="G26" s="369">
        <f>param_ecc*CMO_PLATILLA_ITEMS*12</f>
        <v>30600</v>
      </c>
      <c r="H26" s="374"/>
      <c r="J26" s="41"/>
    </row>
    <row r="27" spans="1:11" ht="15" customHeight="1" x14ac:dyDescent="0.25">
      <c r="A27" s="365" t="s">
        <v>30</v>
      </c>
      <c r="B27" s="365"/>
      <c r="C27" s="366"/>
      <c r="D27" s="366"/>
      <c r="E27" s="369"/>
      <c r="F27" s="366"/>
      <c r="G27" s="366"/>
      <c r="H27" s="758"/>
      <c r="J27" s="41"/>
    </row>
    <row r="28" spans="1:11" ht="15" customHeight="1" x14ac:dyDescent="0.25">
      <c r="A28" s="368" t="s">
        <v>31</v>
      </c>
      <c r="B28" s="352" t="s">
        <v>32</v>
      </c>
      <c r="C28" s="369">
        <v>7772178.3099999996</v>
      </c>
      <c r="D28" s="369">
        <v>12069969.390000001</v>
      </c>
      <c r="E28" s="369">
        <f>F28-D28</f>
        <v>20503466.419999998</v>
      </c>
      <c r="F28" s="369">
        <v>32573435.809999999</v>
      </c>
      <c r="G28" s="369">
        <f>25000000+H28</f>
        <v>20323525.57</v>
      </c>
      <c r="H28" s="374">
        <f>-872932.13-850000-80000+100000+24027.5-2497300-500000-269.8</f>
        <v>-4676474.43</v>
      </c>
      <c r="J28" s="41"/>
    </row>
    <row r="29" spans="1:11" ht="15" customHeight="1" x14ac:dyDescent="0.25">
      <c r="A29" s="368" t="s">
        <v>30</v>
      </c>
      <c r="B29" s="352" t="s">
        <v>33</v>
      </c>
      <c r="C29" s="369"/>
      <c r="D29" s="369"/>
      <c r="E29" s="369"/>
      <c r="F29" s="369"/>
      <c r="G29" s="369"/>
      <c r="H29" s="385">
        <f>SUM(G30:G36)</f>
        <v>1042030.7999999999</v>
      </c>
      <c r="J29" s="41"/>
    </row>
    <row r="30" spans="1:11" ht="15" customHeight="1" x14ac:dyDescent="0.25">
      <c r="A30" s="376" t="s">
        <v>332</v>
      </c>
      <c r="B30" s="352"/>
      <c r="C30" s="369">
        <v>516796</v>
      </c>
      <c r="D30" s="369">
        <v>659345</v>
      </c>
      <c r="E30" s="369">
        <f>F30-D30</f>
        <v>88217.199999999837</v>
      </c>
      <c r="F30" s="369">
        <v>747562.19999999984</v>
      </c>
      <c r="G30" s="369">
        <f>(H12/12)+I30</f>
        <v>872030.79999999993</v>
      </c>
      <c r="H30" s="758"/>
      <c r="I30" s="49">
        <f>G14/4</f>
        <v>102000</v>
      </c>
      <c r="J30" s="41"/>
    </row>
    <row r="31" spans="1:11" ht="15" customHeight="1" x14ac:dyDescent="0.25">
      <c r="A31" s="376" t="s">
        <v>333</v>
      </c>
      <c r="B31" s="352"/>
      <c r="C31" s="369">
        <v>75000</v>
      </c>
      <c r="D31" s="369"/>
      <c r="E31" s="369">
        <f>F31-D31</f>
        <v>85000</v>
      </c>
      <c r="F31" s="369">
        <v>85000</v>
      </c>
      <c r="G31" s="369">
        <f>param_pei*CMO_PLATILLA_ITEMS</f>
        <v>85000</v>
      </c>
      <c r="H31" s="758"/>
      <c r="J31" s="41"/>
    </row>
    <row r="32" spans="1:11" ht="30" customHeight="1" x14ac:dyDescent="0.25">
      <c r="A32" s="376" t="s">
        <v>649</v>
      </c>
      <c r="B32" s="377"/>
      <c r="C32" s="369"/>
      <c r="D32" s="369"/>
      <c r="E32" s="369">
        <f>F32-D32</f>
        <v>85000</v>
      </c>
      <c r="F32" s="369">
        <v>85000</v>
      </c>
      <c r="G32" s="369">
        <f>param_pbb*CMO_PLATILLA_ITEMS</f>
        <v>85000</v>
      </c>
      <c r="H32" s="758"/>
      <c r="J32" s="41"/>
    </row>
    <row r="33" spans="1:10" ht="15" customHeight="1" x14ac:dyDescent="0.25">
      <c r="A33" s="376" t="s">
        <v>651</v>
      </c>
      <c r="B33" s="352"/>
      <c r="C33" s="369"/>
      <c r="D33" s="369"/>
      <c r="E33" s="369"/>
      <c r="F33" s="369"/>
      <c r="G33" s="369"/>
      <c r="H33" s="758"/>
      <c r="J33" s="41"/>
    </row>
    <row r="34" spans="1:10" ht="15" customHeight="1" x14ac:dyDescent="0.25">
      <c r="A34" s="376" t="s">
        <v>650</v>
      </c>
      <c r="B34" s="352"/>
      <c r="C34" s="369">
        <v>400000</v>
      </c>
      <c r="D34" s="369"/>
      <c r="E34" s="369"/>
      <c r="F34" s="369"/>
      <c r="G34" s="369"/>
      <c r="H34" s="758"/>
      <c r="J34" s="41"/>
    </row>
    <row r="35" spans="1:10" ht="15" customHeight="1" x14ac:dyDescent="0.25">
      <c r="A35" s="376" t="s">
        <v>652</v>
      </c>
      <c r="B35" s="352"/>
      <c r="C35" s="369"/>
      <c r="D35" s="369"/>
      <c r="E35" s="369"/>
      <c r="F35" s="369"/>
      <c r="G35" s="369"/>
      <c r="H35" s="758"/>
      <c r="J35" s="41"/>
    </row>
    <row r="36" spans="1:10" ht="15" customHeight="1" x14ac:dyDescent="0.25">
      <c r="A36" s="378" t="s">
        <v>653</v>
      </c>
      <c r="B36" s="379"/>
      <c r="C36" s="380">
        <v>148000</v>
      </c>
      <c r="D36" s="380"/>
      <c r="E36" s="381"/>
      <c r="F36" s="380"/>
      <c r="G36" s="380"/>
      <c r="H36" s="758"/>
      <c r="J36" s="41"/>
    </row>
    <row r="37" spans="1:10" s="64" customFormat="1" ht="15" customHeight="1" x14ac:dyDescent="0.25">
      <c r="A37" s="382" t="s">
        <v>34</v>
      </c>
      <c r="B37" s="383"/>
      <c r="C37" s="384">
        <f>SUM(C10:C36)</f>
        <v>19651312</v>
      </c>
      <c r="D37" s="384">
        <f>SUM(D10:D36)</f>
        <v>19020615.920000002</v>
      </c>
      <c r="E37" s="384">
        <f>SUM(E10:E36)</f>
        <v>27980318.057999995</v>
      </c>
      <c r="F37" s="384">
        <f>SUM(F10:F36)</f>
        <v>47833496.178000003</v>
      </c>
      <c r="G37" s="384">
        <f>SUM(G12:G36)</f>
        <v>36338871.121999994</v>
      </c>
      <c r="H37" s="759"/>
      <c r="I37" s="1053"/>
    </row>
    <row r="38" spans="1:10" ht="15" customHeight="1" x14ac:dyDescent="0.25">
      <c r="A38" s="362" t="s">
        <v>35</v>
      </c>
      <c r="B38" s="362"/>
      <c r="C38" s="363"/>
      <c r="D38" s="363"/>
      <c r="E38" s="363"/>
      <c r="F38" s="363"/>
      <c r="G38" s="586"/>
      <c r="H38" s="385"/>
      <c r="J38" s="41"/>
    </row>
    <row r="39" spans="1:10" x14ac:dyDescent="0.25">
      <c r="A39" s="388" t="s">
        <v>44</v>
      </c>
      <c r="B39" s="389"/>
      <c r="C39" s="366"/>
      <c r="D39" s="366"/>
      <c r="E39" s="369"/>
      <c r="F39" s="390"/>
      <c r="G39" s="576"/>
      <c r="H39" s="758"/>
      <c r="J39" s="41"/>
    </row>
    <row r="40" spans="1:10" x14ac:dyDescent="0.25">
      <c r="A40" s="368" t="s">
        <v>45</v>
      </c>
      <c r="B40" s="352" t="s">
        <v>46</v>
      </c>
      <c r="C40" s="369">
        <v>208872.3</v>
      </c>
      <c r="D40" s="369">
        <v>767914.88</v>
      </c>
      <c r="E40" s="369">
        <f>F40-D40</f>
        <v>2232085.12</v>
      </c>
      <c r="F40" s="386">
        <v>3000000</v>
      </c>
      <c r="G40" s="386">
        <v>3000000</v>
      </c>
      <c r="H40" s="760"/>
      <c r="J40" s="41"/>
    </row>
    <row r="41" spans="1:10" x14ac:dyDescent="0.25">
      <c r="A41" s="368" t="s">
        <v>909</v>
      </c>
      <c r="B41" s="352" t="s">
        <v>910</v>
      </c>
      <c r="C41" s="369"/>
      <c r="D41" s="369"/>
      <c r="E41" s="369"/>
      <c r="F41" s="386"/>
      <c r="G41" s="386">
        <v>500000</v>
      </c>
      <c r="H41" s="760"/>
      <c r="J41" s="41"/>
    </row>
    <row r="42" spans="1:10" x14ac:dyDescent="0.25">
      <c r="A42" s="388" t="s">
        <v>47</v>
      </c>
      <c r="B42" s="365"/>
      <c r="C42" s="366"/>
      <c r="D42" s="366"/>
      <c r="E42" s="369"/>
      <c r="F42" s="390"/>
      <c r="G42" s="576"/>
      <c r="H42" s="364"/>
      <c r="J42" s="41"/>
    </row>
    <row r="43" spans="1:10" x14ac:dyDescent="0.25">
      <c r="A43" s="368" t="s">
        <v>48</v>
      </c>
      <c r="B43" s="352" t="s">
        <v>49</v>
      </c>
      <c r="C43" s="369">
        <v>170000</v>
      </c>
      <c r="D43" s="369">
        <v>400200</v>
      </c>
      <c r="E43" s="369">
        <f t="shared" ref="E43" si="2">F43-D43</f>
        <v>2599800</v>
      </c>
      <c r="F43" s="386">
        <v>3000000</v>
      </c>
      <c r="G43" s="386">
        <v>3000000</v>
      </c>
      <c r="H43" s="364"/>
      <c r="J43" s="41"/>
    </row>
    <row r="44" spans="1:10" x14ac:dyDescent="0.25">
      <c r="A44" s="388" t="s">
        <v>50</v>
      </c>
      <c r="B44" s="365"/>
      <c r="C44" s="366"/>
      <c r="D44" s="366"/>
      <c r="E44" s="369"/>
      <c r="F44" s="390"/>
      <c r="G44" s="576"/>
      <c r="H44" s="364"/>
      <c r="J44" s="41"/>
    </row>
    <row r="45" spans="1:10" x14ac:dyDescent="0.25">
      <c r="A45" s="368" t="s">
        <v>51</v>
      </c>
      <c r="B45" s="352" t="s">
        <v>52</v>
      </c>
      <c r="C45" s="369">
        <v>266880.09999999998</v>
      </c>
      <c r="D45" s="369">
        <v>814900</v>
      </c>
      <c r="E45" s="369">
        <f t="shared" ref="E45" si="3">F45-D45</f>
        <v>185100</v>
      </c>
      <c r="F45" s="386">
        <v>1000000</v>
      </c>
      <c r="G45" s="386">
        <v>1000000</v>
      </c>
      <c r="H45" s="364"/>
      <c r="J45" s="41"/>
    </row>
    <row r="46" spans="1:10" x14ac:dyDescent="0.25">
      <c r="A46" s="368" t="s">
        <v>655</v>
      </c>
      <c r="B46" s="352" t="s">
        <v>147</v>
      </c>
      <c r="C46" s="369"/>
      <c r="D46" s="369"/>
      <c r="E46" s="369"/>
      <c r="F46" s="386"/>
      <c r="G46" s="386"/>
      <c r="H46" s="402"/>
      <c r="J46" s="41"/>
    </row>
    <row r="47" spans="1:10" x14ac:dyDescent="0.25">
      <c r="A47" s="368" t="s">
        <v>239</v>
      </c>
      <c r="B47" s="352" t="s">
        <v>240</v>
      </c>
      <c r="C47" s="369">
        <v>758331.83</v>
      </c>
      <c r="D47" s="369">
        <v>380400</v>
      </c>
      <c r="E47" s="369">
        <f t="shared" ref="E47" si="4">F47-D47</f>
        <v>4619600</v>
      </c>
      <c r="F47" s="386">
        <v>5000000</v>
      </c>
      <c r="G47" s="386">
        <v>5000000</v>
      </c>
      <c r="H47" s="402"/>
      <c r="J47" s="41"/>
    </row>
    <row r="48" spans="1:10" x14ac:dyDescent="0.25">
      <c r="A48" s="368" t="s">
        <v>656</v>
      </c>
      <c r="B48" s="352" t="s">
        <v>403</v>
      </c>
      <c r="C48" s="369">
        <v>1000000</v>
      </c>
      <c r="D48" s="369"/>
      <c r="E48" s="369">
        <f>F48-D48</f>
        <v>1000000</v>
      </c>
      <c r="F48" s="369">
        <v>1000000</v>
      </c>
      <c r="G48" s="386">
        <v>2000000</v>
      </c>
      <c r="H48" s="364"/>
      <c r="J48" s="41"/>
    </row>
    <row r="49" spans="1:13" x14ac:dyDescent="0.25">
      <c r="A49" s="368" t="s">
        <v>53</v>
      </c>
      <c r="B49" s="352" t="s">
        <v>54</v>
      </c>
      <c r="C49" s="369">
        <v>795806.51</v>
      </c>
      <c r="D49" s="369">
        <v>635296.79</v>
      </c>
      <c r="E49" s="369">
        <f t="shared" ref="E49:E50" si="5">F49-D49</f>
        <v>364703.20999999996</v>
      </c>
      <c r="F49" s="386">
        <v>1000000</v>
      </c>
      <c r="G49" s="386">
        <v>2000000</v>
      </c>
      <c r="H49" s="364"/>
      <c r="J49" s="41"/>
    </row>
    <row r="50" spans="1:13" x14ac:dyDescent="0.25">
      <c r="A50" s="368" t="s">
        <v>139</v>
      </c>
      <c r="B50" s="352" t="s">
        <v>138</v>
      </c>
      <c r="C50" s="369">
        <v>441086.31</v>
      </c>
      <c r="D50" s="369">
        <v>46901.3</v>
      </c>
      <c r="E50" s="369">
        <f t="shared" si="5"/>
        <v>953098.7</v>
      </c>
      <c r="F50" s="386">
        <v>1000000</v>
      </c>
      <c r="G50" s="386">
        <v>2000000</v>
      </c>
      <c r="H50" s="364"/>
      <c r="J50" s="41"/>
    </row>
    <row r="51" spans="1:13" x14ac:dyDescent="0.25">
      <c r="A51" s="365" t="s">
        <v>55</v>
      </c>
      <c r="B51" s="365"/>
      <c r="C51" s="366"/>
      <c r="D51" s="366"/>
      <c r="E51" s="369"/>
      <c r="F51" s="390"/>
      <c r="G51" s="576"/>
      <c r="H51" s="364"/>
      <c r="J51" s="41"/>
    </row>
    <row r="52" spans="1:13" x14ac:dyDescent="0.25">
      <c r="A52" s="368" t="s">
        <v>56</v>
      </c>
      <c r="B52" s="352" t="s">
        <v>57</v>
      </c>
      <c r="C52" s="386">
        <v>27360</v>
      </c>
      <c r="D52" s="386">
        <v>1375</v>
      </c>
      <c r="E52" s="386">
        <f t="shared" ref="E52" si="6">F52-D52</f>
        <v>48625</v>
      </c>
      <c r="F52" s="386">
        <v>50000</v>
      </c>
      <c r="G52" s="386">
        <v>50000</v>
      </c>
      <c r="H52" s="364"/>
      <c r="J52" s="41"/>
    </row>
    <row r="53" spans="1:13" x14ac:dyDescent="0.25">
      <c r="A53" s="365" t="s">
        <v>58</v>
      </c>
      <c r="B53" s="365"/>
      <c r="C53" s="366"/>
      <c r="D53" s="366"/>
      <c r="E53" s="369"/>
      <c r="F53" s="390"/>
      <c r="G53" s="576"/>
      <c r="H53" s="364"/>
      <c r="J53" s="41"/>
    </row>
    <row r="54" spans="1:13" x14ac:dyDescent="0.25">
      <c r="A54" s="368" t="s">
        <v>59</v>
      </c>
      <c r="B54" s="352" t="s">
        <v>60</v>
      </c>
      <c r="C54" s="369"/>
      <c r="D54" s="369"/>
      <c r="E54" s="369">
        <f t="shared" ref="E54:E57" si="7">F54-D54</f>
        <v>20000</v>
      </c>
      <c r="F54" s="386">
        <v>20000</v>
      </c>
      <c r="G54" s="386">
        <v>20000</v>
      </c>
      <c r="H54" s="364"/>
      <c r="J54" s="41"/>
    </row>
    <row r="55" spans="1:13" x14ac:dyDescent="0.25">
      <c r="A55" s="368" t="s">
        <v>61</v>
      </c>
      <c r="B55" s="352" t="s">
        <v>62</v>
      </c>
      <c r="C55" s="369">
        <v>9282.48</v>
      </c>
      <c r="D55" s="369">
        <v>48765</v>
      </c>
      <c r="E55" s="369">
        <f t="shared" si="7"/>
        <v>101235</v>
      </c>
      <c r="F55" s="386">
        <v>150000</v>
      </c>
      <c r="G55" s="386">
        <v>150000</v>
      </c>
      <c r="H55" s="364"/>
      <c r="J55" s="41"/>
    </row>
    <row r="56" spans="1:13" x14ac:dyDescent="0.25">
      <c r="A56" s="368" t="s">
        <v>63</v>
      </c>
      <c r="B56" s="352" t="s">
        <v>64</v>
      </c>
      <c r="C56" s="369">
        <v>73304.47</v>
      </c>
      <c r="D56" s="369">
        <v>16277.25</v>
      </c>
      <c r="E56" s="369">
        <f t="shared" si="7"/>
        <v>133722.75</v>
      </c>
      <c r="F56" s="386">
        <v>150000</v>
      </c>
      <c r="G56" s="386">
        <v>150000</v>
      </c>
      <c r="H56" s="364"/>
      <c r="J56" s="41"/>
    </row>
    <row r="57" spans="1:13" ht="15" customHeight="1" x14ac:dyDescent="0.25">
      <c r="A57" s="368" t="s">
        <v>65</v>
      </c>
      <c r="B57" s="352" t="s">
        <v>66</v>
      </c>
      <c r="C57" s="369"/>
      <c r="D57" s="369">
        <v>1975</v>
      </c>
      <c r="E57" s="369">
        <f t="shared" si="7"/>
        <v>48025</v>
      </c>
      <c r="F57" s="386">
        <v>50000</v>
      </c>
      <c r="G57" s="386">
        <v>50000</v>
      </c>
      <c r="H57" s="364"/>
      <c r="J57" s="41"/>
    </row>
    <row r="58" spans="1:13" x14ac:dyDescent="0.25">
      <c r="A58" s="365" t="s">
        <v>67</v>
      </c>
      <c r="B58" s="365"/>
      <c r="C58" s="366"/>
      <c r="D58" s="366"/>
      <c r="E58" s="369"/>
      <c r="F58" s="390"/>
      <c r="G58" s="576"/>
      <c r="H58" s="364"/>
      <c r="J58" s="41"/>
    </row>
    <row r="59" spans="1:13" x14ac:dyDescent="0.25">
      <c r="A59" s="368" t="s">
        <v>67</v>
      </c>
      <c r="B59" s="352" t="s">
        <v>68</v>
      </c>
      <c r="C59" s="369"/>
      <c r="D59" s="369"/>
      <c r="E59" s="369">
        <f t="shared" ref="E59" si="8">F59-D59</f>
        <v>300000</v>
      </c>
      <c r="F59" s="386">
        <v>300000</v>
      </c>
      <c r="G59" s="386">
        <v>300000</v>
      </c>
      <c r="H59" s="364"/>
      <c r="J59" s="41"/>
    </row>
    <row r="60" spans="1:13" ht="30" customHeight="1" x14ac:dyDescent="0.25">
      <c r="A60" s="365" t="s">
        <v>69</v>
      </c>
      <c r="B60" s="365"/>
      <c r="C60" s="366"/>
      <c r="D60" s="366"/>
      <c r="E60" s="369"/>
      <c r="F60" s="390"/>
      <c r="G60" s="576"/>
      <c r="H60" s="364"/>
      <c r="J60" s="41"/>
    </row>
    <row r="61" spans="1:13" x14ac:dyDescent="0.25">
      <c r="A61" s="368" t="s">
        <v>70</v>
      </c>
      <c r="B61" s="352" t="s">
        <v>71</v>
      </c>
      <c r="C61" s="369">
        <v>507590</v>
      </c>
      <c r="D61" s="369">
        <v>181350</v>
      </c>
      <c r="E61" s="369">
        <f t="shared" ref="E61:E78" si="9">F61-D61</f>
        <v>318650</v>
      </c>
      <c r="F61" s="386">
        <v>500000</v>
      </c>
      <c r="G61" s="386">
        <v>500000</v>
      </c>
      <c r="H61" s="758"/>
      <c r="I61" s="402"/>
      <c r="J61" s="364"/>
      <c r="K61" s="371"/>
      <c r="L61" s="16"/>
      <c r="M61" s="16"/>
    </row>
    <row r="62" spans="1:13" ht="15" customHeight="1" x14ac:dyDescent="0.25">
      <c r="A62" s="368" t="s">
        <v>72</v>
      </c>
      <c r="B62" s="352" t="s">
        <v>73</v>
      </c>
      <c r="C62" s="369">
        <v>208900</v>
      </c>
      <c r="D62" s="369">
        <v>44000</v>
      </c>
      <c r="E62" s="369">
        <f t="shared" si="9"/>
        <v>262720.66019999998</v>
      </c>
      <c r="F62" s="386">
        <v>306720.66019999998</v>
      </c>
      <c r="G62" s="386">
        <f>J62*2%</f>
        <v>493023.68659999996</v>
      </c>
      <c r="H62" s="761" t="s">
        <v>724</v>
      </c>
      <c r="I62" s="364"/>
      <c r="J62" s="364">
        <v>24651184.329999998</v>
      </c>
      <c r="K62" s="16"/>
      <c r="L62" s="16"/>
      <c r="M62" s="16"/>
    </row>
    <row r="63" spans="1:13" x14ac:dyDescent="0.25">
      <c r="A63" s="365" t="s">
        <v>74</v>
      </c>
      <c r="B63" s="365"/>
      <c r="C63" s="366"/>
      <c r="D63" s="366"/>
      <c r="E63" s="369"/>
      <c r="F63" s="390"/>
      <c r="G63" s="576"/>
      <c r="H63" s="758"/>
      <c r="I63" s="402"/>
      <c r="J63" s="364"/>
      <c r="K63" s="16"/>
      <c r="L63" s="16"/>
      <c r="M63" s="16"/>
    </row>
    <row r="64" spans="1:13" x14ac:dyDescent="0.25">
      <c r="A64" s="368" t="s">
        <v>75</v>
      </c>
      <c r="B64" s="352" t="s">
        <v>76</v>
      </c>
      <c r="C64" s="369">
        <v>752385.75</v>
      </c>
      <c r="D64" s="369">
        <v>188750</v>
      </c>
      <c r="E64" s="369">
        <f t="shared" si="9"/>
        <v>761250</v>
      </c>
      <c r="F64" s="386">
        <v>950000</v>
      </c>
      <c r="G64" s="386">
        <v>950000</v>
      </c>
      <c r="H64" s="758"/>
      <c r="I64" s="402"/>
      <c r="J64" s="364"/>
      <c r="K64" s="16"/>
      <c r="L64" s="16"/>
      <c r="M64" s="16"/>
    </row>
    <row r="65" spans="1:13" x14ac:dyDescent="0.25">
      <c r="A65" s="368" t="s">
        <v>77</v>
      </c>
      <c r="B65" s="352" t="s">
        <v>78</v>
      </c>
      <c r="C65" s="369">
        <v>1933500</v>
      </c>
      <c r="D65" s="369">
        <v>1070270</v>
      </c>
      <c r="E65" s="369">
        <f t="shared" si="9"/>
        <v>929730</v>
      </c>
      <c r="F65" s="386">
        <v>2000000</v>
      </c>
      <c r="G65" s="386">
        <v>2500000</v>
      </c>
      <c r="H65" s="758"/>
      <c r="I65" s="402"/>
      <c r="J65" s="364"/>
      <c r="K65" s="16"/>
      <c r="L65" s="16"/>
      <c r="M65" s="16"/>
    </row>
    <row r="66" spans="1:13" x14ac:dyDescent="0.25">
      <c r="A66" s="365" t="s">
        <v>79</v>
      </c>
      <c r="B66" s="365"/>
      <c r="C66" s="366"/>
      <c r="D66" s="366"/>
      <c r="E66" s="369"/>
      <c r="F66" s="390"/>
      <c r="G66" s="576"/>
      <c r="H66" s="758"/>
      <c r="I66" s="402"/>
      <c r="J66" s="364"/>
      <c r="K66" s="16"/>
      <c r="L66" s="16"/>
      <c r="M66" s="16"/>
    </row>
    <row r="67" spans="1:13" x14ac:dyDescent="0.25">
      <c r="A67" s="368" t="s">
        <v>80</v>
      </c>
      <c r="B67" s="352" t="s">
        <v>81</v>
      </c>
      <c r="C67" s="369">
        <v>5557766.8799999999</v>
      </c>
      <c r="D67" s="369">
        <v>2408880</v>
      </c>
      <c r="E67" s="369">
        <f t="shared" si="9"/>
        <v>5891120</v>
      </c>
      <c r="F67" s="386">
        <v>8300000</v>
      </c>
      <c r="G67" s="386">
        <v>8300000</v>
      </c>
      <c r="H67" s="758"/>
      <c r="I67" s="402"/>
      <c r="J67" s="364"/>
      <c r="K67" s="16"/>
      <c r="L67" s="16"/>
      <c r="M67" s="16"/>
    </row>
    <row r="68" spans="1:13" x14ac:dyDescent="0.25">
      <c r="A68" s="365" t="s">
        <v>82</v>
      </c>
      <c r="B68" s="365"/>
      <c r="C68" s="369"/>
      <c r="D68" s="369"/>
      <c r="E68" s="369"/>
      <c r="F68" s="394"/>
      <c r="G68" s="386"/>
      <c r="H68" s="758"/>
      <c r="I68" s="402"/>
      <c r="J68" s="364"/>
      <c r="K68" s="16"/>
      <c r="L68" s="16"/>
      <c r="M68" s="16"/>
    </row>
    <row r="69" spans="1:13" ht="30" customHeight="1" x14ac:dyDescent="0.25">
      <c r="A69" s="368" t="s">
        <v>120</v>
      </c>
      <c r="B69" s="352" t="s">
        <v>119</v>
      </c>
      <c r="C69" s="369">
        <v>52237.440000000002</v>
      </c>
      <c r="D69" s="369">
        <v>6900</v>
      </c>
      <c r="E69" s="369">
        <f t="shared" si="9"/>
        <v>993100</v>
      </c>
      <c r="F69" s="369">
        <v>1000000</v>
      </c>
      <c r="G69" s="386">
        <v>1000000</v>
      </c>
      <c r="H69" s="364"/>
      <c r="J69" s="41"/>
    </row>
    <row r="70" spans="1:13" ht="30" customHeight="1" x14ac:dyDescent="0.25">
      <c r="A70" s="368" t="s">
        <v>118</v>
      </c>
      <c r="B70" s="352" t="s">
        <v>117</v>
      </c>
      <c r="C70" s="369">
        <v>281883</v>
      </c>
      <c r="D70" s="369">
        <v>6000</v>
      </c>
      <c r="E70" s="369">
        <f t="shared" si="9"/>
        <v>994000</v>
      </c>
      <c r="F70" s="369">
        <v>1000000</v>
      </c>
      <c r="G70" s="386">
        <v>2000000</v>
      </c>
      <c r="H70" s="364"/>
      <c r="J70" s="41"/>
    </row>
    <row r="71" spans="1:13" ht="25.5" customHeight="1" x14ac:dyDescent="0.25">
      <c r="A71" s="368" t="s">
        <v>335</v>
      </c>
      <c r="B71" s="352" t="s">
        <v>132</v>
      </c>
      <c r="C71" s="369"/>
      <c r="D71" s="369">
        <v>52349.65</v>
      </c>
      <c r="E71" s="369">
        <f t="shared" si="9"/>
        <v>447650.35</v>
      </c>
      <c r="F71" s="369">
        <v>500000</v>
      </c>
      <c r="G71" s="386">
        <v>1000000</v>
      </c>
      <c r="H71" s="364"/>
      <c r="J71" s="41"/>
    </row>
    <row r="72" spans="1:13" ht="15" customHeight="1" x14ac:dyDescent="0.25">
      <c r="A72" s="365" t="s">
        <v>83</v>
      </c>
      <c r="B72" s="365"/>
      <c r="C72" s="366"/>
      <c r="D72" s="366"/>
      <c r="E72" s="369"/>
      <c r="F72" s="390"/>
      <c r="G72" s="576"/>
      <c r="H72" s="364"/>
      <c r="J72" s="41"/>
    </row>
    <row r="73" spans="1:13" ht="15" customHeight="1" x14ac:dyDescent="0.25">
      <c r="A73" s="368" t="s">
        <v>84</v>
      </c>
      <c r="B73" s="352" t="s">
        <v>85</v>
      </c>
      <c r="C73" s="369">
        <v>3479365.53</v>
      </c>
      <c r="D73" s="369">
        <v>1529853.66</v>
      </c>
      <c r="E73" s="369">
        <f t="shared" si="9"/>
        <v>970146.34000000008</v>
      </c>
      <c r="F73" s="369">
        <v>2500000</v>
      </c>
      <c r="G73" s="386">
        <v>4000000</v>
      </c>
      <c r="H73" s="364"/>
      <c r="J73" s="41"/>
    </row>
    <row r="74" spans="1:13" ht="15" customHeight="1" x14ac:dyDescent="0.25">
      <c r="A74" s="376" t="s">
        <v>626</v>
      </c>
      <c r="B74" s="352"/>
      <c r="C74" s="369"/>
      <c r="D74" s="369"/>
      <c r="E74" s="369">
        <f t="shared" si="9"/>
        <v>1200000</v>
      </c>
      <c r="F74" s="369">
        <v>1200000</v>
      </c>
      <c r="G74" s="386">
        <v>1200000</v>
      </c>
      <c r="H74" s="364"/>
      <c r="J74" s="41"/>
    </row>
    <row r="75" spans="1:13" ht="15" customHeight="1" x14ac:dyDescent="0.25">
      <c r="A75" s="376" t="s">
        <v>628</v>
      </c>
      <c r="B75" s="352"/>
      <c r="C75" s="369">
        <v>962001.5</v>
      </c>
      <c r="D75" s="369"/>
      <c r="E75" s="369">
        <f t="shared" si="9"/>
        <v>1000000</v>
      </c>
      <c r="F75" s="369">
        <v>1000000</v>
      </c>
      <c r="G75" s="386">
        <v>1000000</v>
      </c>
      <c r="H75" s="364"/>
      <c r="J75" s="41"/>
    </row>
    <row r="76" spans="1:13" ht="15" customHeight="1" x14ac:dyDescent="0.25">
      <c r="A76" s="368" t="s">
        <v>292</v>
      </c>
      <c r="B76" s="352" t="s">
        <v>293</v>
      </c>
      <c r="C76" s="369"/>
      <c r="D76" s="369">
        <v>17360</v>
      </c>
      <c r="E76" s="369">
        <f t="shared" si="9"/>
        <v>482640</v>
      </c>
      <c r="F76" s="369">
        <v>500000</v>
      </c>
      <c r="G76" s="386">
        <v>1000000</v>
      </c>
      <c r="H76" s="364"/>
      <c r="J76" s="41"/>
    </row>
    <row r="77" spans="1:13" ht="15" customHeight="1" x14ac:dyDescent="0.25">
      <c r="A77" s="368" t="s">
        <v>589</v>
      </c>
      <c r="B77" s="352" t="s">
        <v>177</v>
      </c>
      <c r="C77" s="369"/>
      <c r="D77" s="369"/>
      <c r="E77" s="369">
        <f t="shared" si="9"/>
        <v>400000</v>
      </c>
      <c r="F77" s="369">
        <v>400000</v>
      </c>
      <c r="G77" s="386">
        <v>1000000</v>
      </c>
      <c r="H77" s="364"/>
      <c r="J77" s="41"/>
    </row>
    <row r="78" spans="1:13" ht="15" customHeight="1" x14ac:dyDescent="0.25">
      <c r="A78" s="376" t="s">
        <v>350</v>
      </c>
      <c r="B78" s="352"/>
      <c r="C78" s="369">
        <v>870685.04</v>
      </c>
      <c r="D78" s="369">
        <v>114300</v>
      </c>
      <c r="E78" s="369">
        <f t="shared" si="9"/>
        <v>885700</v>
      </c>
      <c r="F78" s="369">
        <v>1000000</v>
      </c>
      <c r="G78" s="386">
        <v>1000000</v>
      </c>
      <c r="H78" s="364"/>
      <c r="J78" s="41"/>
    </row>
    <row r="79" spans="1:13" ht="15" customHeight="1" x14ac:dyDescent="0.25">
      <c r="A79" s="365" t="s">
        <v>42</v>
      </c>
      <c r="B79" s="365"/>
      <c r="C79" s="366"/>
      <c r="D79" s="366"/>
      <c r="E79" s="366"/>
      <c r="F79" s="366"/>
      <c r="G79" s="576"/>
      <c r="H79" s="364"/>
      <c r="J79" s="41"/>
    </row>
    <row r="80" spans="1:13" ht="15" customHeight="1" x14ac:dyDescent="0.25">
      <c r="A80" s="368" t="s">
        <v>36</v>
      </c>
      <c r="B80" s="352" t="s">
        <v>178</v>
      </c>
      <c r="C80" s="369"/>
      <c r="D80" s="369"/>
      <c r="E80" s="369">
        <f>F80-D80</f>
        <v>1000000</v>
      </c>
      <c r="F80" s="386">
        <v>1000000</v>
      </c>
      <c r="G80" s="769">
        <v>1000000</v>
      </c>
      <c r="H80" s="364"/>
      <c r="J80" s="41"/>
    </row>
    <row r="81" spans="1:11" ht="15" customHeight="1" x14ac:dyDescent="0.25">
      <c r="A81" s="368" t="s">
        <v>37</v>
      </c>
      <c r="B81" s="352" t="s">
        <v>184</v>
      </c>
      <c r="C81" s="369">
        <v>299700</v>
      </c>
      <c r="D81" s="369"/>
      <c r="E81" s="369">
        <f>F81-D81</f>
        <v>300000</v>
      </c>
      <c r="F81" s="386">
        <v>300000</v>
      </c>
      <c r="G81" s="386">
        <v>300000</v>
      </c>
      <c r="H81" s="364"/>
      <c r="J81" s="41"/>
    </row>
    <row r="82" spans="1:11" ht="15" customHeight="1" x14ac:dyDescent="0.25">
      <c r="A82" s="368" t="s">
        <v>38</v>
      </c>
      <c r="B82" s="352" t="s">
        <v>187</v>
      </c>
      <c r="C82" s="369"/>
      <c r="D82" s="369"/>
      <c r="E82" s="369">
        <f>F82-D82</f>
        <v>1000000</v>
      </c>
      <c r="F82" s="386">
        <v>1000000</v>
      </c>
      <c r="G82" s="386">
        <v>1000000</v>
      </c>
      <c r="H82" s="364"/>
      <c r="J82" s="41"/>
    </row>
    <row r="83" spans="1:11" ht="15" customHeight="1" x14ac:dyDescent="0.25">
      <c r="A83" s="368" t="s">
        <v>236</v>
      </c>
      <c r="B83" s="352" t="s">
        <v>237</v>
      </c>
      <c r="C83" s="369">
        <v>1000000</v>
      </c>
      <c r="D83" s="369">
        <v>200000</v>
      </c>
      <c r="E83" s="369">
        <f>F83-D83</f>
        <v>1000000</v>
      </c>
      <c r="F83" s="386">
        <v>1200000</v>
      </c>
      <c r="G83" s="386">
        <v>1200000</v>
      </c>
      <c r="H83" s="364"/>
      <c r="J83" s="41"/>
    </row>
    <row r="84" spans="1:11" ht="30" customHeight="1" x14ac:dyDescent="0.25">
      <c r="A84" s="368" t="s">
        <v>39</v>
      </c>
      <c r="B84" s="352" t="s">
        <v>188</v>
      </c>
      <c r="C84" s="369">
        <v>450000</v>
      </c>
      <c r="D84" s="369">
        <v>200000</v>
      </c>
      <c r="E84" s="369"/>
      <c r="F84" s="386">
        <v>300000</v>
      </c>
      <c r="G84" s="386">
        <v>300000</v>
      </c>
      <c r="H84" s="364"/>
      <c r="J84" s="41"/>
    </row>
    <row r="85" spans="1:11" ht="15" customHeight="1" x14ac:dyDescent="0.25">
      <c r="A85" s="368" t="s">
        <v>40</v>
      </c>
      <c r="B85" s="352" t="s">
        <v>179</v>
      </c>
      <c r="C85" s="369"/>
      <c r="D85" s="369">
        <v>42811.44</v>
      </c>
      <c r="E85" s="369">
        <f>F85-D85</f>
        <v>157188.56</v>
      </c>
      <c r="F85" s="386">
        <v>200000</v>
      </c>
      <c r="G85" s="386">
        <v>200000</v>
      </c>
      <c r="H85" s="364"/>
      <c r="J85" s="41"/>
    </row>
    <row r="86" spans="1:11" ht="15" customHeight="1" x14ac:dyDescent="0.25">
      <c r="A86" s="368" t="s">
        <v>41</v>
      </c>
      <c r="B86" s="352" t="s">
        <v>186</v>
      </c>
      <c r="C86" s="369">
        <v>239800</v>
      </c>
      <c r="D86" s="369">
        <v>126000</v>
      </c>
      <c r="E86" s="369">
        <f>F86-D86</f>
        <v>874000</v>
      </c>
      <c r="F86" s="386">
        <v>1000000</v>
      </c>
      <c r="G86" s="386">
        <v>1000000</v>
      </c>
      <c r="H86" s="364"/>
      <c r="J86" s="41"/>
    </row>
    <row r="87" spans="1:11" ht="15" customHeight="1" x14ac:dyDescent="0.25">
      <c r="A87" s="368" t="s">
        <v>42</v>
      </c>
      <c r="B87" s="352" t="s">
        <v>176</v>
      </c>
      <c r="C87" s="369">
        <v>8980753.8800000008</v>
      </c>
      <c r="D87" s="369">
        <v>678891.25</v>
      </c>
      <c r="E87" s="369">
        <f>F87-D87</f>
        <v>5321108.75</v>
      </c>
      <c r="F87" s="369">
        <v>6000000</v>
      </c>
      <c r="G87" s="386">
        <v>6000000</v>
      </c>
      <c r="H87" s="364"/>
      <c r="J87" s="41"/>
    </row>
    <row r="88" spans="1:11" ht="30" customHeight="1" x14ac:dyDescent="0.25">
      <c r="A88" s="703" t="s">
        <v>723</v>
      </c>
      <c r="B88" s="352"/>
      <c r="C88" s="369"/>
      <c r="D88" s="369">
        <v>646100</v>
      </c>
      <c r="E88" s="369">
        <f>F88-D88</f>
        <v>397900</v>
      </c>
      <c r="F88" s="369">
        <v>1044000</v>
      </c>
      <c r="G88" s="386">
        <v>1044000</v>
      </c>
      <c r="H88" s="364"/>
      <c r="J88" s="41"/>
    </row>
    <row r="89" spans="1:11" s="44" customFormat="1" ht="38.25" customHeight="1" x14ac:dyDescent="0.25">
      <c r="A89" s="396" t="s">
        <v>86</v>
      </c>
      <c r="B89" s="397"/>
      <c r="C89" s="398">
        <f>SUM(C38:C88)</f>
        <v>29327493.019999996</v>
      </c>
      <c r="D89" s="398">
        <f>SUM(D38:D88)</f>
        <v>10627821.219999999</v>
      </c>
      <c r="E89" s="398">
        <f>SUM(E38:E88)</f>
        <v>38192899.440200001</v>
      </c>
      <c r="F89" s="398">
        <f>SUM(F38:F88)</f>
        <v>48920720.6602</v>
      </c>
      <c r="G89" s="398">
        <f>SUM(G40:G88)</f>
        <v>57207023.6866</v>
      </c>
      <c r="H89" s="400"/>
      <c r="I89" s="1048"/>
    </row>
    <row r="90" spans="1:11" x14ac:dyDescent="0.25">
      <c r="A90" s="362" t="s">
        <v>88</v>
      </c>
      <c r="B90" s="362"/>
      <c r="C90" s="363"/>
      <c r="D90" s="363"/>
      <c r="E90" s="363"/>
      <c r="F90" s="363"/>
      <c r="G90" s="363"/>
      <c r="H90" s="402"/>
      <c r="J90" s="41"/>
    </row>
    <row r="91" spans="1:11" s="45" customFormat="1" ht="15" customHeight="1" x14ac:dyDescent="0.25">
      <c r="A91" s="368" t="s">
        <v>102</v>
      </c>
      <c r="B91" s="352" t="s">
        <v>103</v>
      </c>
      <c r="C91" s="369">
        <v>3275000</v>
      </c>
      <c r="D91" s="369"/>
      <c r="E91" s="369"/>
      <c r="F91" s="369"/>
      <c r="G91" s="413"/>
      <c r="H91" s="412"/>
      <c r="I91" s="412"/>
      <c r="J91" s="411"/>
      <c r="K91" s="411"/>
    </row>
    <row r="92" spans="1:11" s="47" customFormat="1" ht="15" customHeight="1" x14ac:dyDescent="0.25">
      <c r="A92" s="414" t="s">
        <v>112</v>
      </c>
      <c r="B92" s="415"/>
      <c r="C92" s="416">
        <f>SUM(C90:C91)</f>
        <v>3275000</v>
      </c>
      <c r="D92" s="416">
        <f>SUM(D90:D91)</f>
        <v>0</v>
      </c>
      <c r="E92" s="416">
        <f>SUM(E90:E91)</f>
        <v>0</v>
      </c>
      <c r="F92" s="416">
        <f>SUM(F90:F91)</f>
        <v>0</v>
      </c>
      <c r="G92" s="416">
        <f>SUM(G90:G91)</f>
        <v>0</v>
      </c>
      <c r="H92" s="417"/>
      <c r="I92" s="417"/>
      <c r="J92" s="418"/>
      <c r="K92" s="418"/>
    </row>
    <row r="93" spans="1:11" s="48" customFormat="1" ht="15" customHeight="1" x14ac:dyDescent="0.25">
      <c r="A93" s="419" t="s">
        <v>113</v>
      </c>
      <c r="B93" s="420"/>
      <c r="C93" s="421">
        <f>C37+C89+C92</f>
        <v>52253805.019999996</v>
      </c>
      <c r="D93" s="421">
        <f>D37+D89+D92</f>
        <v>29648437.140000001</v>
      </c>
      <c r="E93" s="421">
        <f>E37+E89+E92</f>
        <v>66173217.498199999</v>
      </c>
      <c r="F93" s="421">
        <f>F37+F89+F92</f>
        <v>96754216.838200003</v>
      </c>
      <c r="G93" s="421">
        <f>G37+G89+G92</f>
        <v>93545894.808599994</v>
      </c>
      <c r="H93" s="835" t="s">
        <v>916</v>
      </c>
      <c r="I93" s="1054"/>
      <c r="J93" s="422"/>
      <c r="K93" s="422"/>
    </row>
    <row r="94" spans="1:11" x14ac:dyDescent="0.25">
      <c r="F94" s="46"/>
      <c r="H94" s="49"/>
      <c r="J94" s="41"/>
    </row>
    <row r="95" spans="1:11" x14ac:dyDescent="0.25">
      <c r="G95" s="49"/>
      <c r="H95" s="49"/>
      <c r="J95" s="41"/>
    </row>
    <row r="96" spans="1:11" x14ac:dyDescent="0.25">
      <c r="G96" s="49"/>
      <c r="H96" s="49"/>
      <c r="J96" s="41"/>
    </row>
    <row r="97" spans="1:10" x14ac:dyDescent="0.25">
      <c r="G97" s="281"/>
      <c r="H97" s="49"/>
      <c r="J97" s="41"/>
    </row>
    <row r="98" spans="1:10" x14ac:dyDescent="0.25">
      <c r="H98" s="49"/>
      <c r="J98" s="41"/>
    </row>
    <row r="106" spans="1:10" x14ac:dyDescent="0.25">
      <c r="A106" s="41" t="s">
        <v>72</v>
      </c>
    </row>
    <row r="107" spans="1:10" x14ac:dyDescent="0.25">
      <c r="A107" s="395" t="s">
        <v>724</v>
      </c>
    </row>
  </sheetData>
  <mergeCells count="9">
    <mergeCell ref="A1:G1"/>
    <mergeCell ref="A2:G2"/>
    <mergeCell ref="A3:G3"/>
    <mergeCell ref="A4:G4"/>
    <mergeCell ref="A6:A8"/>
    <mergeCell ref="B6:B8"/>
    <mergeCell ref="D6:F7"/>
    <mergeCell ref="C6:C8"/>
    <mergeCell ref="G6:G8"/>
  </mergeCells>
  <printOptions horizontalCentered="1"/>
  <pageMargins left="0.35433070866141736" right="0.23622047244094491" top="0.74803149606299213" bottom="0.74803149606299213" header="0.31496062992125984" footer="0.31496062992125984"/>
  <pageSetup paperSize="14" scale="81" firstPageNumber="202" fitToHeight="0" orientation="portrait" useFirstPageNumber="1" horizontalDpi="360" verticalDpi="360" r:id="rId1"/>
  <headerFooter scaleWithDoc="0">
    <oddFooter>&amp;C&amp;"Candara,Regular"&amp;10Page &amp;"Candara,Bold"&amp;P</oddFooter>
  </headerFooter>
  <rowBreaks count="1" manualBreakCount="1">
    <brk id="66"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22"/>
  <sheetViews>
    <sheetView showWhiteSpace="0" topLeftCell="A6" zoomScale="130" zoomScaleNormal="130" zoomScaleSheetLayoutView="115" workbookViewId="0">
      <pane xSplit="2" ySplit="4" topLeftCell="C85" activePane="bottomRight" state="frozen"/>
      <selection activeCell="H42" sqref="H42"/>
      <selection pane="topRight" activeCell="H42" sqref="H42"/>
      <selection pane="bottomLeft" activeCell="H42" sqref="H42"/>
      <selection pane="bottomRight" activeCell="G90" sqref="G90:G95"/>
    </sheetView>
  </sheetViews>
  <sheetFormatPr defaultColWidth="7.5703125" defaultRowHeight="15" x14ac:dyDescent="0.25"/>
  <cols>
    <col min="1" max="1" width="37.7109375" style="41" customWidth="1"/>
    <col min="2" max="2" width="10.7109375" style="41" customWidth="1"/>
    <col min="3" max="5" width="15.5703125" style="41" customWidth="1"/>
    <col min="6" max="6" width="16.140625" style="41" bestFit="1" customWidth="1"/>
    <col min="7" max="7" width="15.7109375" style="41" customWidth="1"/>
    <col min="8" max="8" width="18.28515625" style="41" customWidth="1"/>
    <col min="9" max="9" width="29.28515625" style="41" bestFit="1" customWidth="1"/>
    <col min="10" max="10" width="17.5703125" style="41" customWidth="1"/>
    <col min="11" max="11" width="15.28515625" style="41" bestFit="1" customWidth="1"/>
    <col min="12" max="12" width="16" style="41" bestFit="1" customWidth="1"/>
    <col min="13" max="16384" width="7.5703125" style="41"/>
  </cols>
  <sheetData>
    <row r="1" spans="1:13" ht="15" customHeight="1" x14ac:dyDescent="0.25">
      <c r="A1" s="1071" t="s">
        <v>231</v>
      </c>
      <c r="B1" s="1071"/>
      <c r="C1" s="1071"/>
      <c r="D1" s="1071"/>
      <c r="E1" s="1071"/>
      <c r="F1" s="1071"/>
      <c r="G1" s="1071"/>
    </row>
    <row r="2" spans="1:13" ht="18.75" customHeight="1" x14ac:dyDescent="0.3">
      <c r="A2" s="1072" t="s">
        <v>232</v>
      </c>
      <c r="B2" s="1072"/>
      <c r="C2" s="1072"/>
      <c r="D2" s="1072"/>
      <c r="E2" s="1072"/>
      <c r="F2" s="1072"/>
      <c r="G2" s="1072"/>
    </row>
    <row r="3" spans="1:13" ht="15.75" customHeight="1" x14ac:dyDescent="0.25">
      <c r="A3" s="1073" t="s">
        <v>233</v>
      </c>
      <c r="B3" s="1073"/>
      <c r="C3" s="1073"/>
      <c r="D3" s="1073"/>
      <c r="E3" s="1073"/>
      <c r="F3" s="1073"/>
      <c r="G3" s="1073"/>
    </row>
    <row r="4" spans="1:13" ht="15" customHeight="1" x14ac:dyDescent="0.25">
      <c r="A4" s="1074" t="s">
        <v>189</v>
      </c>
      <c r="B4" s="1075"/>
      <c r="C4" s="1075"/>
      <c r="D4" s="1075"/>
      <c r="E4" s="1075"/>
      <c r="F4" s="1075"/>
      <c r="G4" s="1075"/>
    </row>
    <row r="5" spans="1:13" x14ac:dyDescent="0.25">
      <c r="A5" s="42"/>
      <c r="B5" s="42"/>
      <c r="C5" s="42"/>
      <c r="D5" s="42"/>
      <c r="E5" s="42"/>
      <c r="F5" s="42"/>
      <c r="G5" s="42"/>
    </row>
    <row r="6" spans="1:13" s="43" customFormat="1" ht="12" x14ac:dyDescent="0.2">
      <c r="A6" s="1099" t="s">
        <v>1</v>
      </c>
      <c r="B6" s="1099" t="s">
        <v>2</v>
      </c>
      <c r="C6" s="1099" t="s">
        <v>310</v>
      </c>
      <c r="D6" s="1100" t="s">
        <v>307</v>
      </c>
      <c r="E6" s="1100"/>
      <c r="F6" s="1100"/>
      <c r="G6" s="1099" t="s">
        <v>311</v>
      </c>
      <c r="H6" s="358"/>
      <c r="I6" s="358"/>
      <c r="J6" s="358"/>
      <c r="K6" s="358"/>
      <c r="L6" s="358"/>
      <c r="M6" s="358"/>
    </row>
    <row r="7" spans="1:13" s="43" customFormat="1" ht="12" x14ac:dyDescent="0.2">
      <c r="A7" s="1099"/>
      <c r="B7" s="1099"/>
      <c r="C7" s="1099"/>
      <c r="D7" s="1100"/>
      <c r="E7" s="1100"/>
      <c r="F7" s="1100"/>
      <c r="G7" s="1099"/>
      <c r="H7" s="358"/>
      <c r="I7" s="358"/>
      <c r="J7" s="358"/>
      <c r="K7" s="358"/>
      <c r="L7" s="358"/>
      <c r="M7" s="358"/>
    </row>
    <row r="8" spans="1:13" s="43" customFormat="1" ht="24" x14ac:dyDescent="0.2">
      <c r="A8" s="1099"/>
      <c r="B8" s="1099"/>
      <c r="C8" s="1099"/>
      <c r="D8" s="359" t="s">
        <v>610</v>
      </c>
      <c r="E8" s="359" t="s">
        <v>309</v>
      </c>
      <c r="F8" s="359" t="s">
        <v>3</v>
      </c>
      <c r="G8" s="1099"/>
      <c r="H8" s="358"/>
      <c r="I8" s="456" t="s">
        <v>660</v>
      </c>
      <c r="J8" s="358"/>
      <c r="K8" s="358"/>
      <c r="L8" s="358"/>
      <c r="M8" s="358"/>
    </row>
    <row r="9" spans="1:13" s="70" customFormat="1" ht="11.25" x14ac:dyDescent="0.25">
      <c r="A9" s="360">
        <v>1</v>
      </c>
      <c r="B9" s="360">
        <v>2</v>
      </c>
      <c r="C9" s="360">
        <v>3</v>
      </c>
      <c r="D9" s="360">
        <v>4</v>
      </c>
      <c r="E9" s="360">
        <v>5</v>
      </c>
      <c r="F9" s="360">
        <v>6</v>
      </c>
      <c r="G9" s="360">
        <v>7</v>
      </c>
      <c r="H9" s="423"/>
      <c r="I9" s="361"/>
      <c r="J9" s="361"/>
      <c r="K9" s="361"/>
      <c r="L9" s="361"/>
      <c r="M9" s="361"/>
    </row>
    <row r="10" spans="1:13" s="43" customFormat="1" x14ac:dyDescent="0.25">
      <c r="A10" s="457" t="s">
        <v>394</v>
      </c>
      <c r="B10" s="458"/>
      <c r="C10" s="458"/>
      <c r="D10" s="458"/>
      <c r="E10" s="458"/>
      <c r="F10" s="458"/>
      <c r="G10" s="458"/>
      <c r="H10" s="358"/>
      <c r="I10" s="358"/>
      <c r="J10" s="358"/>
      <c r="K10" s="358"/>
      <c r="L10" s="358"/>
      <c r="M10" s="358"/>
    </row>
    <row r="11" spans="1:13" ht="15" customHeight="1" x14ac:dyDescent="0.25">
      <c r="A11" s="459" t="s">
        <v>297</v>
      </c>
      <c r="B11" s="460"/>
      <c r="C11" s="461"/>
      <c r="D11" s="462"/>
      <c r="E11" s="461"/>
      <c r="F11" s="462"/>
      <c r="G11" s="463"/>
      <c r="H11" s="16"/>
      <c r="I11" s="16"/>
      <c r="J11" s="16"/>
      <c r="K11" s="16"/>
      <c r="L11" s="16"/>
      <c r="M11" s="16"/>
    </row>
    <row r="12" spans="1:13" ht="15" customHeight="1" x14ac:dyDescent="0.25">
      <c r="A12" s="403" t="s">
        <v>298</v>
      </c>
      <c r="B12" s="464"/>
      <c r="C12" s="465"/>
      <c r="D12" s="466"/>
      <c r="E12" s="465"/>
      <c r="F12" s="466"/>
      <c r="G12" s="467"/>
      <c r="H12" s="16"/>
      <c r="I12" s="16"/>
      <c r="J12" s="16"/>
      <c r="K12" s="16"/>
      <c r="L12" s="16"/>
      <c r="M12" s="16"/>
    </row>
    <row r="13" spans="1:13" ht="15" customHeight="1" x14ac:dyDescent="0.25">
      <c r="A13" s="373" t="s">
        <v>168</v>
      </c>
      <c r="B13" s="352" t="s">
        <v>167</v>
      </c>
      <c r="C13" s="468">
        <v>7066786.7599999998</v>
      </c>
      <c r="D13" s="469"/>
      <c r="E13" s="468">
        <f>F13-D13</f>
        <v>17000000</v>
      </c>
      <c r="F13" s="469">
        <v>17000000</v>
      </c>
      <c r="G13" s="470">
        <v>16276000</v>
      </c>
      <c r="H13" s="16" t="s">
        <v>774</v>
      </c>
      <c r="I13" s="16"/>
      <c r="J13" s="371">
        <f t="shared" ref="J13:J18" si="0">SUM(D13:E13)</f>
        <v>17000000</v>
      </c>
      <c r="K13" s="16"/>
      <c r="L13" s="16"/>
      <c r="M13" s="16"/>
    </row>
    <row r="14" spans="1:13" ht="15" customHeight="1" x14ac:dyDescent="0.25">
      <c r="A14" s="373" t="s">
        <v>577</v>
      </c>
      <c r="B14" s="471" t="s">
        <v>154</v>
      </c>
      <c r="C14" s="468">
        <v>2838598.5</v>
      </c>
      <c r="D14" s="469"/>
      <c r="E14" s="468">
        <f t="shared" ref="E14:E17" si="1">F14-D14</f>
        <v>5000000</v>
      </c>
      <c r="F14" s="469">
        <v>5000000</v>
      </c>
      <c r="G14" s="470">
        <v>4000000</v>
      </c>
      <c r="H14" s="16" t="s">
        <v>774</v>
      </c>
      <c r="I14" s="16"/>
      <c r="J14" s="371">
        <f t="shared" si="0"/>
        <v>5000000</v>
      </c>
      <c r="K14" s="16"/>
      <c r="L14" s="16"/>
      <c r="M14" s="16"/>
    </row>
    <row r="15" spans="1:13" ht="15" customHeight="1" x14ac:dyDescent="0.25">
      <c r="A15" s="373" t="s">
        <v>80</v>
      </c>
      <c r="B15" s="352" t="s">
        <v>81</v>
      </c>
      <c r="C15" s="468">
        <v>7595015</v>
      </c>
      <c r="D15" s="469"/>
      <c r="E15" s="468">
        <f t="shared" si="1"/>
        <v>8328880</v>
      </c>
      <c r="F15" s="469">
        <v>8328880</v>
      </c>
      <c r="G15" s="470">
        <v>7000000</v>
      </c>
      <c r="H15" s="438"/>
      <c r="I15" s="16"/>
      <c r="J15" s="371">
        <f t="shared" si="0"/>
        <v>8328880</v>
      </c>
      <c r="K15" s="16"/>
      <c r="L15" s="16"/>
      <c r="M15" s="16"/>
    </row>
    <row r="16" spans="1:13" ht="15" customHeight="1" x14ac:dyDescent="0.25">
      <c r="A16" s="373" t="s">
        <v>355</v>
      </c>
      <c r="B16" s="352" t="s">
        <v>46</v>
      </c>
      <c r="C16" s="468"/>
      <c r="D16" s="469"/>
      <c r="E16" s="468">
        <f t="shared" si="1"/>
        <v>400000</v>
      </c>
      <c r="F16" s="469">
        <v>400000</v>
      </c>
      <c r="G16" s="470">
        <v>200000</v>
      </c>
      <c r="H16" s="16"/>
      <c r="I16" s="16"/>
      <c r="J16" s="371">
        <f t="shared" si="0"/>
        <v>400000</v>
      </c>
      <c r="K16" s="16"/>
      <c r="L16" s="16"/>
      <c r="M16" s="16"/>
    </row>
    <row r="17" spans="1:16" ht="15" customHeight="1" x14ac:dyDescent="0.25">
      <c r="A17" s="373" t="s">
        <v>48</v>
      </c>
      <c r="B17" s="352" t="s">
        <v>49</v>
      </c>
      <c r="C17" s="468"/>
      <c r="D17" s="469"/>
      <c r="E17" s="468">
        <f t="shared" si="1"/>
        <v>500000</v>
      </c>
      <c r="F17" s="469">
        <v>500000</v>
      </c>
      <c r="G17" s="470">
        <v>300000</v>
      </c>
      <c r="H17" s="16"/>
      <c r="I17" s="16"/>
      <c r="J17" s="371">
        <f t="shared" si="0"/>
        <v>500000</v>
      </c>
      <c r="K17" s="16"/>
      <c r="L17" s="16"/>
      <c r="M17" s="16"/>
    </row>
    <row r="18" spans="1:16" ht="15" customHeight="1" x14ac:dyDescent="0.25">
      <c r="A18" s="373" t="s">
        <v>139</v>
      </c>
      <c r="B18" s="352" t="s">
        <v>138</v>
      </c>
      <c r="C18" s="406"/>
      <c r="D18" s="369"/>
      <c r="E18" s="406"/>
      <c r="F18" s="369"/>
      <c r="G18" s="408"/>
      <c r="H18" s="16"/>
      <c r="I18" s="16"/>
      <c r="J18" s="371">
        <f t="shared" si="0"/>
        <v>0</v>
      </c>
      <c r="K18" s="16"/>
      <c r="L18" s="16"/>
      <c r="M18" s="16"/>
    </row>
    <row r="19" spans="1:16" ht="15" customHeight="1" x14ac:dyDescent="0.25">
      <c r="A19" s="434" t="s">
        <v>531</v>
      </c>
      <c r="B19" s="352"/>
      <c r="C19" s="468">
        <v>150000</v>
      </c>
      <c r="D19" s="469"/>
      <c r="E19" s="468">
        <f t="shared" ref="E19:E21" si="2">F19-D19</f>
        <v>200000</v>
      </c>
      <c r="F19" s="469">
        <v>200000</v>
      </c>
      <c r="G19" s="470">
        <v>215000</v>
      </c>
      <c r="H19" s="16"/>
      <c r="I19" s="16"/>
      <c r="J19" s="371"/>
      <c r="K19" s="16"/>
      <c r="L19" s="16"/>
      <c r="M19" s="16"/>
    </row>
    <row r="20" spans="1:16" ht="15" customHeight="1" x14ac:dyDescent="0.25">
      <c r="A20" s="373" t="s">
        <v>41</v>
      </c>
      <c r="B20" s="352" t="s">
        <v>154</v>
      </c>
      <c r="C20" s="468">
        <v>2099000</v>
      </c>
      <c r="D20" s="469"/>
      <c r="E20" s="468">
        <f t="shared" si="2"/>
        <v>5000000</v>
      </c>
      <c r="F20" s="469">
        <v>5000000</v>
      </c>
      <c r="G20" s="470">
        <v>5000000</v>
      </c>
      <c r="H20" s="16"/>
      <c r="I20" s="16"/>
      <c r="J20" s="371">
        <f t="shared" ref="J20:J25" si="3">SUM(D20:E20)</f>
        <v>5000000</v>
      </c>
      <c r="K20" s="16"/>
      <c r="L20" s="16"/>
      <c r="M20" s="16"/>
      <c r="P20" s="41" t="s">
        <v>610</v>
      </c>
    </row>
    <row r="21" spans="1:16" ht="15" customHeight="1" x14ac:dyDescent="0.25">
      <c r="A21" s="373" t="s">
        <v>53</v>
      </c>
      <c r="B21" s="352" t="s">
        <v>54</v>
      </c>
      <c r="C21" s="468">
        <v>2127930.0299999998</v>
      </c>
      <c r="D21" s="469"/>
      <c r="E21" s="468">
        <f t="shared" si="2"/>
        <v>6500000</v>
      </c>
      <c r="F21" s="469">
        <v>6500000</v>
      </c>
      <c r="G21" s="470">
        <v>6100000</v>
      </c>
      <c r="H21" s="16"/>
      <c r="I21" s="16"/>
      <c r="J21" s="371">
        <f t="shared" si="3"/>
        <v>6500000</v>
      </c>
      <c r="K21" s="16"/>
      <c r="L21" s="16"/>
      <c r="M21" s="16"/>
    </row>
    <row r="22" spans="1:16" ht="15" customHeight="1" x14ac:dyDescent="0.25">
      <c r="A22" s="373" t="s">
        <v>56</v>
      </c>
      <c r="B22" s="352" t="s">
        <v>57</v>
      </c>
      <c r="C22" s="468"/>
      <c r="D22" s="469"/>
      <c r="E22" s="468"/>
      <c r="F22" s="469"/>
      <c r="G22" s="470">
        <v>0</v>
      </c>
      <c r="H22" s="16"/>
      <c r="I22" s="16"/>
      <c r="J22" s="371">
        <f t="shared" si="3"/>
        <v>0</v>
      </c>
      <c r="K22" s="16"/>
      <c r="L22" s="16"/>
      <c r="M22" s="16"/>
    </row>
    <row r="23" spans="1:16" ht="30" customHeight="1" x14ac:dyDescent="0.25">
      <c r="A23" s="373" t="s">
        <v>336</v>
      </c>
      <c r="B23" s="352" t="s">
        <v>156</v>
      </c>
      <c r="C23" s="468"/>
      <c r="D23" s="469"/>
      <c r="E23" s="468"/>
      <c r="F23" s="469">
        <v>3500000</v>
      </c>
      <c r="G23" s="470">
        <v>0</v>
      </c>
      <c r="H23" s="16"/>
      <c r="I23" s="16"/>
      <c r="J23" s="371">
        <f t="shared" si="3"/>
        <v>0</v>
      </c>
      <c r="K23" s="16"/>
      <c r="L23" s="16"/>
      <c r="M23" s="16"/>
    </row>
    <row r="24" spans="1:16" ht="30" customHeight="1" x14ac:dyDescent="0.25">
      <c r="A24" s="373" t="s">
        <v>118</v>
      </c>
      <c r="B24" s="352" t="s">
        <v>117</v>
      </c>
      <c r="C24" s="468">
        <v>176217.5</v>
      </c>
      <c r="D24" s="469"/>
      <c r="E24" s="468">
        <f>F24-D24</f>
        <v>350000</v>
      </c>
      <c r="F24" s="469">
        <v>350000</v>
      </c>
      <c r="G24" s="470">
        <v>250000</v>
      </c>
      <c r="H24" s="16"/>
      <c r="I24" s="16"/>
      <c r="J24" s="371">
        <f t="shared" si="3"/>
        <v>350000</v>
      </c>
      <c r="K24" s="16"/>
      <c r="L24" s="16"/>
      <c r="M24" s="16"/>
    </row>
    <row r="25" spans="1:16" ht="30" customHeight="1" x14ac:dyDescent="0.25">
      <c r="A25" s="472" t="s">
        <v>42</v>
      </c>
      <c r="B25" s="442" t="s">
        <v>176</v>
      </c>
      <c r="C25" s="473">
        <v>2804573.66</v>
      </c>
      <c r="D25" s="474"/>
      <c r="E25" s="468">
        <f>F25-D25</f>
        <v>700000</v>
      </c>
      <c r="F25" s="474">
        <v>700000</v>
      </c>
      <c r="G25" s="475">
        <v>500000</v>
      </c>
      <c r="H25" s="16"/>
      <c r="I25" s="16"/>
      <c r="J25" s="371">
        <f t="shared" si="3"/>
        <v>700000</v>
      </c>
      <c r="K25" s="16"/>
      <c r="L25" s="16"/>
      <c r="M25" s="16"/>
    </row>
    <row r="26" spans="1:16" ht="15" customHeight="1" x14ac:dyDescent="0.25">
      <c r="A26" s="434" t="s">
        <v>717</v>
      </c>
      <c r="B26" s="352"/>
      <c r="C26" s="468"/>
      <c r="D26" s="469"/>
      <c r="E26" s="468"/>
      <c r="F26" s="469">
        <v>374400</v>
      </c>
      <c r="G26" s="470">
        <v>0</v>
      </c>
      <c r="H26" s="16"/>
      <c r="I26" s="16"/>
      <c r="J26" s="371"/>
      <c r="K26" s="16"/>
      <c r="L26" s="16"/>
      <c r="M26" s="16"/>
    </row>
    <row r="27" spans="1:16" ht="30" customHeight="1" x14ac:dyDescent="0.25">
      <c r="A27" s="434" t="s">
        <v>718</v>
      </c>
      <c r="B27" s="352"/>
      <c r="C27" s="468"/>
      <c r="D27" s="469"/>
      <c r="E27" s="468"/>
      <c r="F27" s="469">
        <v>420000</v>
      </c>
      <c r="G27" s="470">
        <v>0</v>
      </c>
      <c r="H27" s="16"/>
      <c r="I27" s="16"/>
      <c r="J27" s="371"/>
      <c r="K27" s="16"/>
      <c r="L27" s="16"/>
      <c r="M27" s="16"/>
    </row>
    <row r="28" spans="1:16" ht="30" customHeight="1" x14ac:dyDescent="0.25">
      <c r="A28" s="476" t="s">
        <v>356</v>
      </c>
      <c r="B28" s="477"/>
      <c r="C28" s="398">
        <f>SUM(C12:C27)</f>
        <v>24858121.449999999</v>
      </c>
      <c r="D28" s="398">
        <f t="shared" ref="D28:G28" si="4">SUM(D12:D27)</f>
        <v>0</v>
      </c>
      <c r="E28" s="398">
        <f t="shared" si="4"/>
        <v>43978880</v>
      </c>
      <c r="F28" s="398">
        <f t="shared" si="4"/>
        <v>48273280</v>
      </c>
      <c r="G28" s="398">
        <f t="shared" si="4"/>
        <v>39841000</v>
      </c>
      <c r="H28" s="16"/>
      <c r="I28" s="16"/>
      <c r="J28" s="371"/>
      <c r="K28" s="16"/>
      <c r="L28" s="16"/>
      <c r="M28" s="16"/>
    </row>
    <row r="29" spans="1:16" x14ac:dyDescent="0.25">
      <c r="A29" s="478" t="s">
        <v>88</v>
      </c>
      <c r="B29" s="479"/>
      <c r="C29" s="480"/>
      <c r="D29" s="481"/>
      <c r="E29" s="480"/>
      <c r="F29" s="481"/>
      <c r="G29" s="482"/>
      <c r="H29" s="16"/>
      <c r="I29" s="16"/>
      <c r="J29" s="371"/>
      <c r="K29" s="16"/>
      <c r="L29" s="16"/>
      <c r="M29" s="16"/>
    </row>
    <row r="30" spans="1:16" x14ac:dyDescent="0.25">
      <c r="A30" s="373" t="s">
        <v>750</v>
      </c>
      <c r="B30" s="352" t="s">
        <v>94</v>
      </c>
      <c r="C30" s="468"/>
      <c r="D30" s="469"/>
      <c r="E30" s="468"/>
      <c r="F30" s="469">
        <v>1000000</v>
      </c>
      <c r="G30" s="470"/>
      <c r="H30" s="483" t="s">
        <v>779</v>
      </c>
      <c r="I30" s="483"/>
      <c r="J30" s="371"/>
      <c r="K30" s="16"/>
      <c r="L30" s="16"/>
      <c r="M30" s="16"/>
    </row>
    <row r="31" spans="1:16" x14ac:dyDescent="0.25">
      <c r="A31" s="373" t="s">
        <v>95</v>
      </c>
      <c r="B31" s="352" t="s">
        <v>96</v>
      </c>
      <c r="C31" s="468"/>
      <c r="D31" s="469"/>
      <c r="E31" s="468"/>
      <c r="F31" s="469">
        <v>1000000</v>
      </c>
      <c r="G31" s="470"/>
      <c r="H31" s="483" t="s">
        <v>779</v>
      </c>
      <c r="I31" s="483"/>
      <c r="J31" s="371"/>
      <c r="K31" s="16"/>
      <c r="L31" s="16"/>
      <c r="M31" s="16"/>
    </row>
    <row r="32" spans="1:16" ht="30" customHeight="1" x14ac:dyDescent="0.25">
      <c r="A32" s="373" t="s">
        <v>97</v>
      </c>
      <c r="B32" s="352" t="s">
        <v>98</v>
      </c>
      <c r="C32" s="468"/>
      <c r="D32" s="469"/>
      <c r="E32" s="468"/>
      <c r="F32" s="469">
        <v>1000000</v>
      </c>
      <c r="G32" s="470"/>
      <c r="H32" s="483" t="s">
        <v>779</v>
      </c>
      <c r="I32" s="483"/>
      <c r="J32" s="371"/>
      <c r="K32" s="16"/>
      <c r="L32" s="16"/>
      <c r="M32" s="16"/>
    </row>
    <row r="33" spans="1:13" x14ac:dyDescent="0.25">
      <c r="A33" s="434" t="s">
        <v>535</v>
      </c>
      <c r="B33" s="352"/>
      <c r="C33" s="468"/>
      <c r="D33" s="469"/>
      <c r="E33" s="468"/>
      <c r="F33" s="469"/>
      <c r="G33" s="470">
        <v>241000</v>
      </c>
      <c r="H33" s="483"/>
      <c r="I33" s="483"/>
      <c r="J33" s="371"/>
      <c r="K33" s="16"/>
      <c r="L33" s="16"/>
      <c r="M33" s="16"/>
    </row>
    <row r="34" spans="1:13" x14ac:dyDescent="0.25">
      <c r="A34" s="434" t="s">
        <v>842</v>
      </c>
      <c r="B34" s="352"/>
      <c r="C34" s="468"/>
      <c r="D34" s="469"/>
      <c r="E34" s="468"/>
      <c r="F34" s="469"/>
      <c r="G34" s="470">
        <v>80000</v>
      </c>
      <c r="H34" s="483"/>
      <c r="I34" s="483"/>
      <c r="J34" s="371"/>
      <c r="K34" s="16"/>
      <c r="L34" s="16"/>
      <c r="M34" s="16"/>
    </row>
    <row r="35" spans="1:13" ht="15" customHeight="1" x14ac:dyDescent="0.25">
      <c r="A35" s="434" t="s">
        <v>719</v>
      </c>
      <c r="B35" s="352"/>
      <c r="C35" s="468"/>
      <c r="D35" s="469"/>
      <c r="E35" s="468">
        <f t="shared" ref="E35:E36" si="5">F35-D35</f>
        <v>120000</v>
      </c>
      <c r="F35" s="469">
        <v>120000</v>
      </c>
      <c r="G35" s="470"/>
      <c r="H35" s="483"/>
      <c r="I35" s="483"/>
      <c r="J35" s="371"/>
      <c r="K35" s="16"/>
      <c r="L35" s="16"/>
      <c r="M35" s="16"/>
    </row>
    <row r="36" spans="1:13" ht="15" customHeight="1" x14ac:dyDescent="0.25">
      <c r="A36" s="434" t="s">
        <v>720</v>
      </c>
      <c r="B36" s="352"/>
      <c r="C36" s="468"/>
      <c r="D36" s="469"/>
      <c r="E36" s="468">
        <f t="shared" si="5"/>
        <v>130000</v>
      </c>
      <c r="F36" s="469">
        <v>130000</v>
      </c>
      <c r="G36" s="470"/>
      <c r="H36" s="483"/>
      <c r="I36" s="483"/>
      <c r="J36" s="371"/>
      <c r="K36" s="16"/>
      <c r="L36" s="16"/>
      <c r="M36" s="16"/>
    </row>
    <row r="37" spans="1:13" ht="15" customHeight="1" x14ac:dyDescent="0.25">
      <c r="A37" s="373" t="s">
        <v>301</v>
      </c>
      <c r="B37" s="352" t="s">
        <v>296</v>
      </c>
      <c r="C37" s="468"/>
      <c r="D37" s="469"/>
      <c r="E37" s="468"/>
      <c r="F37" s="469"/>
      <c r="G37" s="470"/>
      <c r="H37" s="483"/>
      <c r="I37" s="483"/>
      <c r="J37" s="371"/>
      <c r="K37" s="16"/>
      <c r="L37" s="16"/>
      <c r="M37" s="16"/>
    </row>
    <row r="38" spans="1:13" ht="30" customHeight="1" x14ac:dyDescent="0.25">
      <c r="A38" s="434" t="s">
        <v>537</v>
      </c>
      <c r="B38" s="352"/>
      <c r="C38" s="468"/>
      <c r="D38" s="469"/>
      <c r="E38" s="468">
        <f>F38-D38</f>
        <v>900000</v>
      </c>
      <c r="F38" s="469">
        <v>900000</v>
      </c>
      <c r="G38" s="470">
        <v>300000</v>
      </c>
      <c r="H38" s="483"/>
      <c r="I38" s="483"/>
      <c r="J38" s="371"/>
      <c r="K38" s="16"/>
      <c r="L38" s="16"/>
      <c r="M38" s="16"/>
    </row>
    <row r="39" spans="1:13" x14ac:dyDescent="0.25">
      <c r="A39" s="434" t="s">
        <v>721</v>
      </c>
      <c r="B39" s="352"/>
      <c r="C39" s="468"/>
      <c r="D39" s="469"/>
      <c r="E39" s="468"/>
      <c r="F39" s="469">
        <v>500000</v>
      </c>
      <c r="G39" s="470"/>
      <c r="H39" s="483"/>
      <c r="I39" s="483"/>
      <c r="J39" s="371"/>
      <c r="K39" s="16"/>
      <c r="L39" s="16"/>
      <c r="M39" s="16"/>
    </row>
    <row r="40" spans="1:13" ht="30" customHeight="1" x14ac:dyDescent="0.25">
      <c r="A40" s="434" t="s">
        <v>538</v>
      </c>
      <c r="B40" s="352"/>
      <c r="C40" s="468"/>
      <c r="D40" s="469"/>
      <c r="E40" s="468">
        <f>F40-D40</f>
        <v>36000</v>
      </c>
      <c r="F40" s="469">
        <v>36000</v>
      </c>
      <c r="G40" s="470">
        <v>24000</v>
      </c>
      <c r="H40" s="483"/>
      <c r="I40" s="483"/>
      <c r="J40" s="371"/>
      <c r="K40" s="16"/>
      <c r="L40" s="16"/>
      <c r="M40" s="16"/>
    </row>
    <row r="41" spans="1:13" ht="15" customHeight="1" x14ac:dyDescent="0.25">
      <c r="A41" s="434" t="s">
        <v>540</v>
      </c>
      <c r="B41" s="352"/>
      <c r="C41" s="468"/>
      <c r="D41" s="469"/>
      <c r="E41" s="468">
        <f t="shared" ref="E41:E43" si="6">F41-D41</f>
        <v>280000</v>
      </c>
      <c r="F41" s="469">
        <v>280000</v>
      </c>
      <c r="G41" s="470">
        <v>280000</v>
      </c>
      <c r="H41" s="483"/>
      <c r="I41" s="483"/>
      <c r="J41" s="371"/>
      <c r="K41" s="16"/>
      <c r="L41" s="16"/>
      <c r="M41" s="16"/>
    </row>
    <row r="42" spans="1:13" ht="15" customHeight="1" x14ac:dyDescent="0.25">
      <c r="A42" s="434" t="s">
        <v>541</v>
      </c>
      <c r="B42" s="352"/>
      <c r="C42" s="468"/>
      <c r="D42" s="469"/>
      <c r="E42" s="468">
        <f t="shared" si="6"/>
        <v>0</v>
      </c>
      <c r="F42" s="469"/>
      <c r="G42" s="470">
        <v>600000</v>
      </c>
      <c r="H42" s="483"/>
      <c r="I42" s="483"/>
      <c r="J42" s="371"/>
      <c r="K42" s="16"/>
      <c r="L42" s="16"/>
      <c r="M42" s="16"/>
    </row>
    <row r="43" spans="1:13" ht="15" customHeight="1" x14ac:dyDescent="0.25">
      <c r="A43" s="434" t="s">
        <v>542</v>
      </c>
      <c r="B43" s="352"/>
      <c r="C43" s="468"/>
      <c r="D43" s="469"/>
      <c r="E43" s="468">
        <f t="shared" si="6"/>
        <v>0</v>
      </c>
      <c r="F43" s="469"/>
      <c r="G43" s="470">
        <v>200000</v>
      </c>
      <c r="H43" s="483"/>
      <c r="I43" s="483"/>
      <c r="J43" s="371"/>
      <c r="K43" s="16"/>
      <c r="L43" s="16"/>
      <c r="M43" s="16"/>
    </row>
    <row r="44" spans="1:13" x14ac:dyDescent="0.25">
      <c r="A44" s="373" t="s">
        <v>102</v>
      </c>
      <c r="B44" s="352" t="s">
        <v>103</v>
      </c>
      <c r="C44" s="468"/>
      <c r="D44" s="469">
        <v>0</v>
      </c>
      <c r="E44" s="468">
        <f>+F44-D44</f>
        <v>0</v>
      </c>
      <c r="F44" s="469"/>
      <c r="G44" s="470"/>
      <c r="H44" s="483"/>
      <c r="I44" s="483"/>
      <c r="J44" s="371"/>
      <c r="K44" s="16"/>
      <c r="L44" s="16"/>
      <c r="M44" s="16"/>
    </row>
    <row r="45" spans="1:13" ht="30" hidden="1" customHeight="1" x14ac:dyDescent="0.25">
      <c r="A45" s="434" t="s">
        <v>411</v>
      </c>
      <c r="B45" s="352"/>
      <c r="C45" s="468"/>
      <c r="D45" s="469"/>
      <c r="E45" s="468"/>
      <c r="F45" s="469"/>
      <c r="G45" s="470"/>
      <c r="H45" s="483"/>
      <c r="I45" s="483"/>
      <c r="J45" s="371"/>
      <c r="K45" s="16"/>
      <c r="L45" s="16"/>
      <c r="M45" s="16"/>
    </row>
    <row r="46" spans="1:13" ht="30" hidden="1" customHeight="1" x14ac:dyDescent="0.25">
      <c r="A46" s="434" t="s">
        <v>449</v>
      </c>
      <c r="B46" s="352"/>
      <c r="C46" s="468"/>
      <c r="D46" s="469"/>
      <c r="E46" s="468"/>
      <c r="F46" s="469"/>
      <c r="G46" s="470"/>
      <c r="H46" s="483"/>
      <c r="I46" s="483"/>
      <c r="J46" s="371"/>
      <c r="K46" s="16"/>
      <c r="L46" s="16"/>
      <c r="M46" s="16"/>
    </row>
    <row r="47" spans="1:13" ht="15" hidden="1" customHeight="1" x14ac:dyDescent="0.25">
      <c r="A47" s="484" t="s">
        <v>532</v>
      </c>
      <c r="B47" s="352"/>
      <c r="C47" s="485"/>
      <c r="D47" s="469">
        <v>0</v>
      </c>
      <c r="E47" s="485"/>
      <c r="F47" s="469"/>
      <c r="G47" s="486"/>
      <c r="H47" s="483"/>
      <c r="I47" s="483"/>
      <c r="J47" s="371"/>
      <c r="K47" s="16"/>
      <c r="L47" s="16"/>
      <c r="M47" s="16"/>
    </row>
    <row r="48" spans="1:13" ht="15" hidden="1" customHeight="1" x14ac:dyDescent="0.25">
      <c r="A48" s="484" t="s">
        <v>533</v>
      </c>
      <c r="B48" s="352"/>
      <c r="C48" s="485"/>
      <c r="D48" s="469"/>
      <c r="E48" s="485"/>
      <c r="F48" s="469"/>
      <c r="G48" s="486"/>
      <c r="H48" s="483"/>
      <c r="I48" s="483"/>
      <c r="J48" s="371"/>
      <c r="K48" s="16"/>
      <c r="L48" s="16"/>
      <c r="M48" s="16"/>
    </row>
    <row r="49" spans="1:13" ht="15" customHeight="1" x14ac:dyDescent="0.25">
      <c r="A49" s="484" t="s">
        <v>533</v>
      </c>
      <c r="B49" s="352"/>
      <c r="C49" s="485"/>
      <c r="D49" s="469"/>
      <c r="E49" s="485"/>
      <c r="F49" s="469">
        <v>850000</v>
      </c>
      <c r="G49" s="486"/>
      <c r="H49" s="483"/>
      <c r="I49" s="483"/>
      <c r="J49" s="371"/>
      <c r="K49" s="16"/>
      <c r="L49" s="16"/>
      <c r="M49" s="16"/>
    </row>
    <row r="50" spans="1:13" ht="15" customHeight="1" x14ac:dyDescent="0.25">
      <c r="A50" s="487" t="s">
        <v>645</v>
      </c>
      <c r="B50" s="354"/>
      <c r="C50" s="488">
        <v>772000</v>
      </c>
      <c r="D50" s="489"/>
      <c r="E50" s="488">
        <f>F50-D50</f>
        <v>550000</v>
      </c>
      <c r="F50" s="489">
        <v>550000</v>
      </c>
      <c r="G50" s="490">
        <v>825000</v>
      </c>
      <c r="H50" s="483"/>
      <c r="I50" s="483"/>
      <c r="J50" s="371"/>
      <c r="K50" s="16"/>
      <c r="L50" s="16"/>
      <c r="M50" s="16"/>
    </row>
    <row r="51" spans="1:13" x14ac:dyDescent="0.25">
      <c r="A51" s="373" t="s">
        <v>105</v>
      </c>
      <c r="B51" s="352" t="s">
        <v>106</v>
      </c>
      <c r="C51" s="468"/>
      <c r="D51" s="469"/>
      <c r="E51" s="468"/>
      <c r="F51" s="469">
        <v>2000000</v>
      </c>
      <c r="G51" s="470"/>
      <c r="H51" s="483"/>
      <c r="I51" s="483"/>
      <c r="J51" s="371"/>
      <c r="K51" s="16"/>
      <c r="L51" s="16"/>
      <c r="M51" s="16"/>
    </row>
    <row r="52" spans="1:13" ht="15" customHeight="1" x14ac:dyDescent="0.25">
      <c r="A52" s="476" t="s">
        <v>112</v>
      </c>
      <c r="B52" s="477"/>
      <c r="C52" s="398">
        <f>SUM(C29:C51)</f>
        <v>772000</v>
      </c>
      <c r="D52" s="398">
        <f t="shared" ref="D52:G52" si="7">SUM(D29:D51)</f>
        <v>0</v>
      </c>
      <c r="E52" s="398">
        <f t="shared" si="7"/>
        <v>2016000</v>
      </c>
      <c r="F52" s="398">
        <f t="shared" si="7"/>
        <v>8366000</v>
      </c>
      <c r="G52" s="398">
        <f t="shared" si="7"/>
        <v>2550000</v>
      </c>
      <c r="H52" s="16"/>
      <c r="I52" s="16"/>
      <c r="J52" s="371"/>
      <c r="K52" s="16"/>
      <c r="L52" s="16"/>
      <c r="M52" s="16"/>
    </row>
    <row r="53" spans="1:13" ht="15" customHeight="1" x14ac:dyDescent="0.25">
      <c r="A53" s="491" t="s">
        <v>113</v>
      </c>
      <c r="B53" s="492"/>
      <c r="C53" s="493">
        <f t="shared" ref="C53:E53" si="8">SUM(C52+C28)</f>
        <v>25630121.449999999</v>
      </c>
      <c r="D53" s="493">
        <f t="shared" si="8"/>
        <v>0</v>
      </c>
      <c r="E53" s="493">
        <f t="shared" si="8"/>
        <v>45994880</v>
      </c>
      <c r="F53" s="493">
        <f>SUM(F52+F28)</f>
        <v>56639280</v>
      </c>
      <c r="G53" s="493">
        <f>SUM(G52+G28)</f>
        <v>42391000</v>
      </c>
      <c r="H53" s="16"/>
      <c r="I53" s="16"/>
      <c r="J53" s="371"/>
      <c r="K53" s="16"/>
      <c r="L53" s="16"/>
      <c r="M53" s="16"/>
    </row>
    <row r="54" spans="1:13" ht="15" customHeight="1" x14ac:dyDescent="0.25">
      <c r="A54" s="494" t="s">
        <v>300</v>
      </c>
      <c r="B54" s="495"/>
      <c r="C54" s="461"/>
      <c r="D54" s="462"/>
      <c r="E54" s="461"/>
      <c r="F54" s="462"/>
      <c r="G54" s="709"/>
      <c r="H54" s="16"/>
      <c r="I54" s="16"/>
      <c r="J54" s="16"/>
      <c r="K54" s="16"/>
      <c r="L54" s="16"/>
      <c r="M54" s="16"/>
    </row>
    <row r="55" spans="1:13" ht="15" customHeight="1" x14ac:dyDescent="0.25">
      <c r="A55" s="403" t="s">
        <v>298</v>
      </c>
      <c r="B55" s="464"/>
      <c r="C55" s="465"/>
      <c r="D55" s="466"/>
      <c r="E55" s="465"/>
      <c r="F55" s="466"/>
      <c r="G55" s="496"/>
      <c r="H55" s="16"/>
      <c r="I55" s="16"/>
      <c r="J55" s="16"/>
      <c r="K55" s="16"/>
      <c r="L55" s="16"/>
      <c r="M55" s="16"/>
    </row>
    <row r="56" spans="1:13" ht="15" customHeight="1" x14ac:dyDescent="0.25">
      <c r="A56" s="373" t="s">
        <v>786</v>
      </c>
      <c r="B56" s="352" t="s">
        <v>52</v>
      </c>
      <c r="C56" s="465"/>
      <c r="D56" s="466"/>
      <c r="E56" s="465"/>
      <c r="F56" s="591">
        <v>100000</v>
      </c>
      <c r="G56" s="469"/>
      <c r="H56" s="16"/>
      <c r="I56" s="16"/>
      <c r="J56" s="16"/>
      <c r="K56" s="16"/>
      <c r="L56" s="16"/>
      <c r="M56" s="16"/>
    </row>
    <row r="57" spans="1:13" ht="15" customHeight="1" x14ac:dyDescent="0.25">
      <c r="A57" s="373" t="s">
        <v>139</v>
      </c>
      <c r="B57" s="352" t="s">
        <v>138</v>
      </c>
      <c r="C57" s="468">
        <v>20338424</v>
      </c>
      <c r="D57" s="469"/>
      <c r="E57" s="468">
        <f>F57-D57</f>
        <v>13860000</v>
      </c>
      <c r="F57" s="469">
        <v>13860000</v>
      </c>
      <c r="G57" s="469">
        <v>31132000</v>
      </c>
      <c r="H57" s="16"/>
      <c r="I57" s="16"/>
      <c r="J57" s="371">
        <f>SUM(D57:E57)</f>
        <v>13860000</v>
      </c>
      <c r="K57" s="16"/>
      <c r="L57" s="16"/>
      <c r="M57" s="16"/>
    </row>
    <row r="58" spans="1:13" ht="15" customHeight="1" x14ac:dyDescent="0.25">
      <c r="A58" s="373" t="s">
        <v>567</v>
      </c>
      <c r="B58" s="352"/>
      <c r="C58" s="468"/>
      <c r="D58" s="469"/>
      <c r="E58" s="468"/>
      <c r="F58" s="469"/>
      <c r="G58" s="469"/>
      <c r="H58" s="16"/>
      <c r="I58" s="16"/>
      <c r="J58" s="371"/>
      <c r="K58" s="16"/>
      <c r="L58" s="16"/>
      <c r="M58" s="16"/>
    </row>
    <row r="59" spans="1:13" ht="15" customHeight="1" x14ac:dyDescent="0.25">
      <c r="A59" s="434" t="s">
        <v>785</v>
      </c>
      <c r="B59" s="352"/>
      <c r="C59" s="468"/>
      <c r="D59" s="469"/>
      <c r="E59" s="468"/>
      <c r="F59" s="469">
        <v>0</v>
      </c>
      <c r="G59" s="469"/>
      <c r="H59" s="730"/>
      <c r="I59" s="483"/>
      <c r="J59" s="371"/>
      <c r="K59" s="16"/>
      <c r="L59" s="16"/>
      <c r="M59" s="16"/>
    </row>
    <row r="60" spans="1:13" ht="15" customHeight="1" x14ac:dyDescent="0.25">
      <c r="A60" s="434" t="s">
        <v>784</v>
      </c>
      <c r="B60" s="352"/>
      <c r="C60" s="468"/>
      <c r="D60" s="469"/>
      <c r="E60" s="468"/>
      <c r="F60" s="469"/>
      <c r="G60" s="469"/>
      <c r="H60" s="483"/>
      <c r="I60" s="483"/>
      <c r="J60" s="371"/>
      <c r="K60" s="16"/>
      <c r="L60" s="16"/>
      <c r="M60" s="16"/>
    </row>
    <row r="61" spans="1:13" ht="15" customHeight="1" x14ac:dyDescent="0.25">
      <c r="A61" s="434" t="s">
        <v>359</v>
      </c>
      <c r="B61" s="352"/>
      <c r="C61" s="468"/>
      <c r="D61" s="469"/>
      <c r="E61" s="468"/>
      <c r="F61" s="469">
        <v>8400000</v>
      </c>
      <c r="G61" s="469"/>
      <c r="H61" s="483"/>
      <c r="I61" s="483"/>
      <c r="J61" s="371"/>
      <c r="K61" s="16"/>
      <c r="L61" s="16"/>
      <c r="M61" s="16"/>
    </row>
    <row r="62" spans="1:13" ht="30" customHeight="1" x14ac:dyDescent="0.25">
      <c r="A62" s="434" t="s">
        <v>425</v>
      </c>
      <c r="B62" s="352"/>
      <c r="C62" s="468"/>
      <c r="D62" s="469"/>
      <c r="E62" s="468"/>
      <c r="F62" s="469"/>
      <c r="G62" s="469"/>
      <c r="H62" s="483"/>
      <c r="I62" s="483"/>
      <c r="J62" s="371"/>
      <c r="K62" s="16"/>
      <c r="L62" s="16"/>
      <c r="M62" s="16"/>
    </row>
    <row r="63" spans="1:13" ht="15" customHeight="1" x14ac:dyDescent="0.25">
      <c r="A63" s="373" t="s">
        <v>80</v>
      </c>
      <c r="B63" s="352" t="s">
        <v>81</v>
      </c>
      <c r="C63" s="468">
        <v>2254080.86</v>
      </c>
      <c r="D63" s="469"/>
      <c r="E63" s="468">
        <f t="shared" ref="E63:E65" si="9">F63-D63</f>
        <v>1721360</v>
      </c>
      <c r="F63" s="469">
        <v>1721360</v>
      </c>
      <c r="G63" s="469">
        <v>2600000</v>
      </c>
      <c r="H63" s="483"/>
      <c r="I63" s="483"/>
      <c r="J63" s="371"/>
      <c r="K63" s="16"/>
      <c r="L63" s="16"/>
      <c r="M63" s="16"/>
    </row>
    <row r="64" spans="1:13" ht="15" customHeight="1" x14ac:dyDescent="0.25">
      <c r="A64" s="373" t="s">
        <v>363</v>
      </c>
      <c r="B64" s="352" t="s">
        <v>46</v>
      </c>
      <c r="C64" s="468"/>
      <c r="D64" s="469"/>
      <c r="E64" s="468">
        <f t="shared" si="9"/>
        <v>5500000</v>
      </c>
      <c r="F64" s="469">
        <v>5500000</v>
      </c>
      <c r="G64" s="469">
        <v>5000000</v>
      </c>
      <c r="H64" s="483">
        <v>2.5</v>
      </c>
      <c r="I64" s="483"/>
      <c r="J64" s="371"/>
      <c r="K64" s="16"/>
      <c r="L64" s="16"/>
      <c r="M64" s="16"/>
    </row>
    <row r="65" spans="1:13" ht="15" customHeight="1" x14ac:dyDescent="0.25">
      <c r="A65" s="373" t="s">
        <v>53</v>
      </c>
      <c r="B65" s="352" t="s">
        <v>54</v>
      </c>
      <c r="C65" s="468">
        <v>499966.99</v>
      </c>
      <c r="D65" s="469"/>
      <c r="E65" s="468">
        <f t="shared" si="9"/>
        <v>500000</v>
      </c>
      <c r="F65" s="469">
        <v>500000</v>
      </c>
      <c r="G65" s="469">
        <v>500000</v>
      </c>
      <c r="H65" s="483"/>
      <c r="I65" s="483"/>
      <c r="J65" s="371"/>
      <c r="K65" s="16"/>
      <c r="L65" s="16"/>
      <c r="M65" s="16"/>
    </row>
    <row r="66" spans="1:13" ht="15" customHeight="1" x14ac:dyDescent="0.25">
      <c r="A66" s="373" t="s">
        <v>361</v>
      </c>
      <c r="B66" s="352" t="s">
        <v>138</v>
      </c>
      <c r="C66" s="468"/>
      <c r="D66" s="469"/>
      <c r="E66" s="468"/>
      <c r="F66" s="469"/>
      <c r="G66" s="469"/>
      <c r="H66" s="483">
        <v>2.5</v>
      </c>
      <c r="I66" s="483"/>
      <c r="J66" s="371"/>
      <c r="K66" s="16"/>
      <c r="L66" s="16"/>
      <c r="M66" s="16"/>
    </row>
    <row r="67" spans="1:13" ht="15" customHeight="1" x14ac:dyDescent="0.25">
      <c r="A67" s="434" t="s">
        <v>347</v>
      </c>
      <c r="B67" s="352"/>
      <c r="C67" s="468"/>
      <c r="D67" s="469"/>
      <c r="E67" s="468"/>
      <c r="F67" s="469">
        <v>2500000</v>
      </c>
      <c r="G67" s="469"/>
      <c r="H67" s="483"/>
      <c r="I67" s="483"/>
      <c r="J67" s="371"/>
      <c r="K67" s="16"/>
      <c r="L67" s="16"/>
      <c r="M67" s="16"/>
    </row>
    <row r="68" spans="1:13" ht="30" customHeight="1" x14ac:dyDescent="0.25">
      <c r="A68" s="434" t="s">
        <v>727</v>
      </c>
      <c r="B68" s="352"/>
      <c r="C68" s="468"/>
      <c r="D68" s="469"/>
      <c r="E68" s="468"/>
      <c r="F68" s="469">
        <v>5000000</v>
      </c>
      <c r="G68" s="469"/>
      <c r="H68" s="483"/>
      <c r="I68" s="483"/>
      <c r="J68" s="371"/>
      <c r="K68" s="16"/>
      <c r="L68" s="16"/>
      <c r="M68" s="16"/>
    </row>
    <row r="69" spans="1:13" x14ac:dyDescent="0.25">
      <c r="A69" s="472" t="s">
        <v>77</v>
      </c>
      <c r="B69" s="442" t="s">
        <v>78</v>
      </c>
      <c r="C69" s="473">
        <v>6246000</v>
      </c>
      <c r="D69" s="474"/>
      <c r="E69" s="473">
        <f t="shared" ref="E69:E71" si="10">F69-D69</f>
        <v>6600000</v>
      </c>
      <c r="F69" s="474">
        <v>6600000</v>
      </c>
      <c r="G69" s="474">
        <v>6600000</v>
      </c>
      <c r="H69" s="483"/>
      <c r="I69" s="483"/>
      <c r="J69" s="371"/>
      <c r="K69" s="16"/>
      <c r="L69" s="16"/>
      <c r="M69" s="16"/>
    </row>
    <row r="70" spans="1:13" ht="30" customHeight="1" x14ac:dyDescent="0.25">
      <c r="A70" s="373" t="s">
        <v>118</v>
      </c>
      <c r="B70" s="352" t="s">
        <v>117</v>
      </c>
      <c r="C70" s="468">
        <v>43571</v>
      </c>
      <c r="D70" s="469"/>
      <c r="E70" s="468">
        <f t="shared" si="10"/>
        <v>100000</v>
      </c>
      <c r="F70" s="469">
        <v>100000</v>
      </c>
      <c r="G70" s="469">
        <v>100000</v>
      </c>
      <c r="H70" s="483"/>
      <c r="I70" s="483"/>
      <c r="J70" s="371"/>
      <c r="K70" s="16"/>
      <c r="L70" s="16"/>
      <c r="M70" s="16"/>
    </row>
    <row r="71" spans="1:13" ht="30" customHeight="1" x14ac:dyDescent="0.25">
      <c r="A71" s="373" t="s">
        <v>42</v>
      </c>
      <c r="B71" s="352" t="s">
        <v>176</v>
      </c>
      <c r="C71" s="468">
        <v>66270.5</v>
      </c>
      <c r="D71" s="469"/>
      <c r="E71" s="468">
        <f t="shared" si="10"/>
        <v>68000</v>
      </c>
      <c r="F71" s="469">
        <v>68000</v>
      </c>
      <c r="G71" s="469">
        <v>68000</v>
      </c>
      <c r="H71" s="483"/>
      <c r="I71" s="483"/>
      <c r="J71" s="371"/>
      <c r="K71" s="16"/>
      <c r="L71" s="16"/>
      <c r="M71" s="16"/>
    </row>
    <row r="72" spans="1:13" ht="15" customHeight="1" x14ac:dyDescent="0.25">
      <c r="A72" s="434" t="s">
        <v>657</v>
      </c>
      <c r="B72" s="352"/>
      <c r="C72" s="468"/>
      <c r="D72" s="469"/>
      <c r="E72" s="468"/>
      <c r="F72" s="469"/>
      <c r="G72" s="469"/>
      <c r="H72" s="483"/>
      <c r="I72" s="483"/>
      <c r="J72" s="371"/>
      <c r="K72" s="16"/>
      <c r="L72" s="16"/>
      <c r="M72" s="16"/>
    </row>
    <row r="73" spans="1:13" ht="30" customHeight="1" x14ac:dyDescent="0.25">
      <c r="A73" s="476" t="s">
        <v>356</v>
      </c>
      <c r="B73" s="477"/>
      <c r="C73" s="398">
        <f>SUM(C56:C72)</f>
        <v>29448313.349999998</v>
      </c>
      <c r="D73" s="398">
        <f>SUM(D56:D72)</f>
        <v>0</v>
      </c>
      <c r="E73" s="398">
        <f>SUM(E56:E72)</f>
        <v>28349360</v>
      </c>
      <c r="F73" s="398">
        <f>SUM(F56:F72)</f>
        <v>44349360</v>
      </c>
      <c r="G73" s="398">
        <f>SUM(G56:G72)</f>
        <v>46000000</v>
      </c>
      <c r="H73" s="16"/>
      <c r="I73" s="16"/>
      <c r="J73" s="371"/>
      <c r="K73" s="16"/>
      <c r="L73" s="16"/>
      <c r="M73" s="16"/>
    </row>
    <row r="74" spans="1:13" ht="15" customHeight="1" x14ac:dyDescent="0.25">
      <c r="A74" s="478" t="s">
        <v>88</v>
      </c>
      <c r="B74" s="479"/>
      <c r="C74" s="480"/>
      <c r="D74" s="481"/>
      <c r="E74" s="480"/>
      <c r="F74" s="481"/>
      <c r="G74" s="499"/>
      <c r="H74" s="16"/>
      <c r="I74" s="16"/>
      <c r="J74" s="371"/>
      <c r="K74" s="16"/>
      <c r="L74" s="16"/>
      <c r="M74" s="16"/>
    </row>
    <row r="75" spans="1:13" x14ac:dyDescent="0.25">
      <c r="A75" s="373" t="s">
        <v>750</v>
      </c>
      <c r="B75" s="352" t="s">
        <v>94</v>
      </c>
      <c r="C75" s="468"/>
      <c r="D75" s="469"/>
      <c r="E75" s="468"/>
      <c r="F75" s="469">
        <v>1000000</v>
      </c>
      <c r="G75" s="470">
        <v>0</v>
      </c>
      <c r="H75" s="483" t="s">
        <v>779</v>
      </c>
      <c r="I75" s="483"/>
      <c r="J75" s="371"/>
      <c r="K75" s="16"/>
      <c r="L75" s="16"/>
      <c r="M75" s="16"/>
    </row>
    <row r="76" spans="1:13" x14ac:dyDescent="0.25">
      <c r="A76" s="373" t="s">
        <v>95</v>
      </c>
      <c r="B76" s="352" t="s">
        <v>96</v>
      </c>
      <c r="C76" s="468"/>
      <c r="D76" s="469"/>
      <c r="E76" s="468"/>
      <c r="F76" s="469">
        <v>500000</v>
      </c>
      <c r="G76" s="470">
        <v>0</v>
      </c>
      <c r="H76" s="483" t="s">
        <v>779</v>
      </c>
      <c r="I76" s="483"/>
      <c r="J76" s="371"/>
      <c r="K76" s="16"/>
      <c r="L76" s="16"/>
      <c r="M76" s="16"/>
    </row>
    <row r="77" spans="1:13" ht="25.5" x14ac:dyDescent="0.25">
      <c r="A77" s="373" t="s">
        <v>97</v>
      </c>
      <c r="B77" s="352" t="s">
        <v>98</v>
      </c>
      <c r="C77" s="468"/>
      <c r="D77" s="469"/>
      <c r="E77" s="468"/>
      <c r="F77" s="469">
        <v>500000</v>
      </c>
      <c r="G77" s="470">
        <v>0</v>
      </c>
      <c r="H77" s="483" t="s">
        <v>779</v>
      </c>
      <c r="I77" s="483"/>
      <c r="J77" s="371"/>
      <c r="K77" s="16"/>
      <c r="L77" s="16"/>
      <c r="M77" s="16"/>
    </row>
    <row r="78" spans="1:13" x14ac:dyDescent="0.25">
      <c r="A78" s="373" t="s">
        <v>99</v>
      </c>
      <c r="B78" s="352" t="s">
        <v>100</v>
      </c>
      <c r="C78" s="468"/>
      <c r="D78" s="469"/>
      <c r="E78" s="468"/>
      <c r="F78" s="469">
        <v>500000</v>
      </c>
      <c r="G78" s="470">
        <v>0</v>
      </c>
      <c r="H78" s="483" t="s">
        <v>779</v>
      </c>
      <c r="I78" s="483"/>
      <c r="J78" s="371"/>
      <c r="K78" s="16"/>
      <c r="L78" s="16"/>
      <c r="M78" s="16"/>
    </row>
    <row r="79" spans="1:13" ht="15" customHeight="1" x14ac:dyDescent="0.25">
      <c r="A79" s="373" t="s">
        <v>301</v>
      </c>
      <c r="B79" s="352" t="s">
        <v>296</v>
      </c>
      <c r="C79" s="468"/>
      <c r="D79" s="469"/>
      <c r="E79" s="468"/>
      <c r="F79" s="469">
        <v>500000</v>
      </c>
      <c r="G79" s="470">
        <v>0</v>
      </c>
      <c r="H79" s="483" t="s">
        <v>779</v>
      </c>
      <c r="I79" s="483"/>
      <c r="J79" s="371">
        <f t="shared" ref="J79" si="11">SUM(D79:E79)</f>
        <v>0</v>
      </c>
      <c r="K79" s="16"/>
      <c r="L79" s="16"/>
      <c r="M79" s="16"/>
    </row>
    <row r="80" spans="1:13" ht="15" customHeight="1" x14ac:dyDescent="0.25">
      <c r="A80" s="434" t="s">
        <v>364</v>
      </c>
      <c r="B80" s="352"/>
      <c r="C80" s="468"/>
      <c r="D80" s="469"/>
      <c r="E80" s="468"/>
      <c r="F80" s="469"/>
      <c r="G80" s="470">
        <v>0</v>
      </c>
      <c r="H80" s="483"/>
      <c r="I80" s="483"/>
      <c r="J80" s="371"/>
      <c r="K80" s="16"/>
      <c r="L80" s="16"/>
      <c r="M80" s="16"/>
    </row>
    <row r="81" spans="1:13" ht="15" customHeight="1" x14ac:dyDescent="0.25">
      <c r="A81" s="373" t="s">
        <v>102</v>
      </c>
      <c r="B81" s="352" t="s">
        <v>103</v>
      </c>
      <c r="C81" s="468"/>
      <c r="D81" s="469"/>
      <c r="E81" s="468"/>
      <c r="F81" s="469"/>
      <c r="G81" s="470">
        <v>0</v>
      </c>
      <c r="H81" s="483"/>
      <c r="I81" s="483"/>
      <c r="J81" s="371"/>
      <c r="K81" s="16"/>
      <c r="L81" s="16"/>
      <c r="M81" s="16"/>
    </row>
    <row r="82" spans="1:13" ht="15" customHeight="1" x14ac:dyDescent="0.25">
      <c r="A82" s="476" t="s">
        <v>112</v>
      </c>
      <c r="B82" s="477"/>
      <c r="C82" s="398">
        <f>SUM(C74:C81)</f>
        <v>0</v>
      </c>
      <c r="D82" s="398">
        <f>SUM(D74:D81)</f>
        <v>0</v>
      </c>
      <c r="E82" s="398">
        <f>SUM(E74:E81)</f>
        <v>0</v>
      </c>
      <c r="F82" s="398">
        <f>SUM(F74:F81)</f>
        <v>3000000</v>
      </c>
      <c r="G82" s="398">
        <f>SUM(G74:G81)</f>
        <v>0</v>
      </c>
      <c r="H82" s="16"/>
      <c r="I82" s="16"/>
      <c r="J82" s="371"/>
      <c r="K82" s="16"/>
      <c r="L82" s="16"/>
      <c r="M82" s="16"/>
    </row>
    <row r="83" spans="1:13" ht="15" customHeight="1" x14ac:dyDescent="0.25">
      <c r="A83" s="491" t="s">
        <v>113</v>
      </c>
      <c r="B83" s="492"/>
      <c r="C83" s="500">
        <f>C73+C82</f>
        <v>29448313.349999998</v>
      </c>
      <c r="D83" s="500">
        <f>+D82+D73</f>
        <v>0</v>
      </c>
      <c r="E83" s="500">
        <f>E73+E82</f>
        <v>28349360</v>
      </c>
      <c r="F83" s="500">
        <f>+F82+F73</f>
        <v>47349360</v>
      </c>
      <c r="G83" s="493">
        <f>+G82+G73</f>
        <v>46000000</v>
      </c>
      <c r="H83" s="16"/>
      <c r="I83" s="16"/>
      <c r="J83" s="371"/>
      <c r="K83" s="16"/>
      <c r="L83" s="16"/>
      <c r="M83" s="16"/>
    </row>
    <row r="84" spans="1:13" ht="15" customHeight="1" x14ac:dyDescent="0.25">
      <c r="A84" s="459" t="s">
        <v>515</v>
      </c>
      <c r="B84" s="495"/>
      <c r="C84" s="461"/>
      <c r="D84" s="462"/>
      <c r="E84" s="461"/>
      <c r="F84" s="462"/>
      <c r="G84" s="463"/>
      <c r="H84" s="501"/>
      <c r="I84" s="16"/>
      <c r="J84" s="16"/>
      <c r="K84" s="16"/>
      <c r="L84" s="16"/>
      <c r="M84" s="16"/>
    </row>
    <row r="85" spans="1:13" ht="15" customHeight="1" x14ac:dyDescent="0.25">
      <c r="A85" s="403" t="s">
        <v>298</v>
      </c>
      <c r="B85" s="464"/>
      <c r="C85" s="465"/>
      <c r="D85" s="466"/>
      <c r="E85" s="465"/>
      <c r="F85" s="466"/>
      <c r="G85" s="496"/>
      <c r="H85" s="502"/>
      <c r="I85" s="16"/>
      <c r="J85" s="16"/>
      <c r="K85" s="16"/>
      <c r="L85" s="16"/>
      <c r="M85" s="16"/>
    </row>
    <row r="86" spans="1:13" ht="15" customHeight="1" x14ac:dyDescent="0.25">
      <c r="A86" s="373" t="s">
        <v>48</v>
      </c>
      <c r="B86" s="352" t="s">
        <v>49</v>
      </c>
      <c r="C86" s="468">
        <v>447885</v>
      </c>
      <c r="D86" s="469"/>
      <c r="E86" s="468">
        <f t="shared" ref="E86:E88" si="12">F86-D86</f>
        <v>800000</v>
      </c>
      <c r="F86" s="469">
        <v>800000</v>
      </c>
      <c r="G86" s="497">
        <v>800000</v>
      </c>
      <c r="H86" s="483">
        <v>2000</v>
      </c>
      <c r="I86" s="483"/>
      <c r="J86" s="371">
        <f t="shared" ref="J86:J94" si="13">SUM(D86:E86)</f>
        <v>800000</v>
      </c>
      <c r="K86" s="16"/>
      <c r="L86" s="16"/>
      <c r="M86" s="16"/>
    </row>
    <row r="87" spans="1:13" ht="15" customHeight="1" x14ac:dyDescent="0.25">
      <c r="A87" s="373" t="s">
        <v>139</v>
      </c>
      <c r="B87" s="352" t="s">
        <v>138</v>
      </c>
      <c r="C87" s="468">
        <v>69187.149999999994</v>
      </c>
      <c r="D87" s="469"/>
      <c r="E87" s="503">
        <f t="shared" si="12"/>
        <v>200000</v>
      </c>
      <c r="F87" s="469">
        <v>200000</v>
      </c>
      <c r="G87" s="497">
        <v>200000</v>
      </c>
      <c r="H87" s="504"/>
      <c r="I87" s="16"/>
      <c r="J87" s="371">
        <f t="shared" si="13"/>
        <v>200000</v>
      </c>
      <c r="K87" s="16"/>
      <c r="L87" s="16"/>
      <c r="M87" s="16"/>
    </row>
    <row r="88" spans="1:13" ht="15" customHeight="1" x14ac:dyDescent="0.25">
      <c r="A88" s="373" t="s">
        <v>53</v>
      </c>
      <c r="B88" s="352" t="s">
        <v>54</v>
      </c>
      <c r="C88" s="468">
        <v>1129271.5</v>
      </c>
      <c r="D88" s="469"/>
      <c r="E88" s="505">
        <f t="shared" si="12"/>
        <v>1200000</v>
      </c>
      <c r="F88" s="469">
        <v>1200000</v>
      </c>
      <c r="G88" s="497">
        <v>1200000</v>
      </c>
      <c r="H88" s="504">
        <v>1200000</v>
      </c>
      <c r="I88" s="16"/>
      <c r="J88" s="371">
        <f t="shared" si="13"/>
        <v>1200000</v>
      </c>
      <c r="K88" s="16"/>
      <c r="L88" s="16"/>
      <c r="M88" s="16"/>
    </row>
    <row r="89" spans="1:13" ht="15" customHeight="1" x14ac:dyDescent="0.25">
      <c r="A89" s="373" t="s">
        <v>423</v>
      </c>
      <c r="B89" s="352" t="s">
        <v>302</v>
      </c>
      <c r="C89" s="468"/>
      <c r="D89" s="469"/>
      <c r="E89" s="505"/>
      <c r="F89" s="469"/>
      <c r="G89" s="497"/>
      <c r="H89" s="504">
        <v>1200000</v>
      </c>
      <c r="I89" s="16"/>
      <c r="J89" s="371">
        <f t="shared" si="13"/>
        <v>0</v>
      </c>
      <c r="K89" s="16"/>
      <c r="L89" s="16"/>
      <c r="M89" s="16"/>
    </row>
    <row r="90" spans="1:13" ht="15" customHeight="1" x14ac:dyDescent="0.25">
      <c r="A90" s="373" t="s">
        <v>80</v>
      </c>
      <c r="B90" s="352" t="s">
        <v>81</v>
      </c>
      <c r="C90" s="468">
        <v>5170970</v>
      </c>
      <c r="D90" s="469"/>
      <c r="E90" s="505">
        <f t="shared" ref="E90:E92" si="14">F90-D90</f>
        <v>5294240</v>
      </c>
      <c r="F90" s="469">
        <v>5294240</v>
      </c>
      <c r="G90" s="497">
        <v>5182320</v>
      </c>
      <c r="H90" s="504">
        <v>4620000</v>
      </c>
      <c r="I90" s="16"/>
      <c r="J90" s="371">
        <f t="shared" si="13"/>
        <v>5294240</v>
      </c>
      <c r="K90" s="16"/>
      <c r="L90" s="16"/>
      <c r="M90" s="16"/>
    </row>
    <row r="91" spans="1:13" ht="30" customHeight="1" x14ac:dyDescent="0.25">
      <c r="A91" s="373" t="s">
        <v>118</v>
      </c>
      <c r="B91" s="352" t="s">
        <v>117</v>
      </c>
      <c r="C91" s="468">
        <v>131819</v>
      </c>
      <c r="D91" s="469"/>
      <c r="E91" s="505">
        <f t="shared" si="14"/>
        <v>500000</v>
      </c>
      <c r="F91" s="469">
        <v>500000</v>
      </c>
      <c r="G91" s="497">
        <v>300000</v>
      </c>
      <c r="H91" s="504">
        <v>300000</v>
      </c>
      <c r="I91" s="16"/>
      <c r="J91" s="371">
        <f t="shared" si="13"/>
        <v>500000</v>
      </c>
      <c r="K91" s="16"/>
      <c r="L91" s="16"/>
      <c r="M91" s="16"/>
    </row>
    <row r="92" spans="1:13" ht="30" customHeight="1" x14ac:dyDescent="0.25">
      <c r="A92" s="373" t="s">
        <v>42</v>
      </c>
      <c r="B92" s="352" t="s">
        <v>176</v>
      </c>
      <c r="C92" s="468">
        <v>220526.5</v>
      </c>
      <c r="D92" s="469"/>
      <c r="E92" s="505">
        <f t="shared" si="14"/>
        <v>360000</v>
      </c>
      <c r="F92" s="469">
        <v>360000</v>
      </c>
      <c r="G92" s="497">
        <v>360000</v>
      </c>
      <c r="H92" s="504">
        <v>360000</v>
      </c>
      <c r="I92" s="16"/>
      <c r="J92" s="371">
        <f t="shared" si="13"/>
        <v>360000</v>
      </c>
      <c r="K92" s="16"/>
      <c r="L92" s="16"/>
      <c r="M92" s="16"/>
    </row>
    <row r="93" spans="1:13" ht="15" customHeight="1" x14ac:dyDescent="0.25">
      <c r="A93" s="373" t="s">
        <v>420</v>
      </c>
      <c r="B93" s="352"/>
      <c r="C93" s="468"/>
      <c r="D93" s="469"/>
      <c r="E93" s="505"/>
      <c r="F93" s="469"/>
      <c r="G93" s="498"/>
      <c r="H93" s="504">
        <v>10000000</v>
      </c>
      <c r="I93" s="16"/>
      <c r="J93" s="371">
        <f t="shared" si="13"/>
        <v>0</v>
      </c>
      <c r="K93" s="16"/>
      <c r="L93" s="16"/>
      <c r="M93" s="16"/>
    </row>
    <row r="94" spans="1:13" ht="15" customHeight="1" x14ac:dyDescent="0.25">
      <c r="A94" s="506" t="s">
        <v>795</v>
      </c>
      <c r="B94" s="442"/>
      <c r="C94" s="473"/>
      <c r="D94" s="474"/>
      <c r="E94" s="503"/>
      <c r="F94" s="474"/>
      <c r="G94" s="498"/>
      <c r="H94" s="504">
        <v>9000000</v>
      </c>
      <c r="I94" s="16"/>
      <c r="J94" s="371">
        <f t="shared" si="13"/>
        <v>0</v>
      </c>
      <c r="K94" s="16"/>
      <c r="L94" s="16"/>
      <c r="M94" s="16"/>
    </row>
    <row r="95" spans="1:13" s="220" customFormat="1" ht="15" customHeight="1" x14ac:dyDescent="0.25">
      <c r="A95" s="732" t="s">
        <v>517</v>
      </c>
      <c r="B95" s="507"/>
      <c r="C95" s="590">
        <v>6130000</v>
      </c>
      <c r="D95" s="591"/>
      <c r="E95" s="590">
        <f>F95-D95</f>
        <v>7570000</v>
      </c>
      <c r="F95" s="591">
        <v>7570000</v>
      </c>
      <c r="G95" s="497">
        <v>6130000</v>
      </c>
      <c r="H95" s="697"/>
      <c r="I95" s="16"/>
      <c r="J95" s="508"/>
      <c r="K95" s="508"/>
      <c r="L95" s="508"/>
      <c r="M95" s="508"/>
    </row>
    <row r="96" spans="1:13" s="220" customFormat="1" ht="30" customHeight="1" x14ac:dyDescent="0.25">
      <c r="A96" s="732" t="s">
        <v>702</v>
      </c>
      <c r="B96" s="507"/>
      <c r="C96" s="590"/>
      <c r="D96" s="591"/>
      <c r="E96" s="590"/>
      <c r="F96" s="591">
        <v>1000000</v>
      </c>
      <c r="G96" s="497"/>
      <c r="H96" s="697"/>
      <c r="I96" s="16"/>
      <c r="J96" s="508"/>
      <c r="K96" s="508"/>
      <c r="L96" s="508"/>
      <c r="M96" s="508"/>
    </row>
    <row r="97" spans="1:13" s="220" customFormat="1" x14ac:dyDescent="0.25">
      <c r="A97" s="733" t="s">
        <v>518</v>
      </c>
      <c r="B97" s="509"/>
      <c r="C97" s="698">
        <v>1520926.25</v>
      </c>
      <c r="D97" s="699"/>
      <c r="E97" s="698">
        <f>F97-D97</f>
        <v>1800000</v>
      </c>
      <c r="F97" s="699">
        <v>1800000</v>
      </c>
      <c r="G97" s="498">
        <v>1727680</v>
      </c>
      <c r="H97" s="697"/>
      <c r="I97" s="16"/>
      <c r="J97" s="508"/>
      <c r="K97" s="508"/>
      <c r="L97" s="508"/>
      <c r="M97" s="508"/>
    </row>
    <row r="98" spans="1:13" s="220" customFormat="1" ht="30" customHeight="1" x14ac:dyDescent="0.25">
      <c r="A98" s="733" t="s">
        <v>703</v>
      </c>
      <c r="B98" s="509"/>
      <c r="C98" s="698"/>
      <c r="D98" s="699"/>
      <c r="E98" s="591">
        <f>F98-D98</f>
        <v>1000000</v>
      </c>
      <c r="F98" s="699">
        <v>1000000</v>
      </c>
      <c r="G98" s="498"/>
      <c r="H98" s="697"/>
      <c r="I98" s="16"/>
      <c r="J98" s="508"/>
      <c r="K98" s="508"/>
      <c r="L98" s="508"/>
      <c r="M98" s="508"/>
    </row>
    <row r="99" spans="1:13" s="220" customFormat="1" ht="30" customHeight="1" x14ac:dyDescent="0.25">
      <c r="A99" s="733" t="s">
        <v>615</v>
      </c>
      <c r="B99" s="509"/>
      <c r="C99" s="698">
        <v>1074627.5</v>
      </c>
      <c r="D99" s="699"/>
      <c r="E99" s="591">
        <f>F99-D99</f>
        <v>700000</v>
      </c>
      <c r="F99" s="699">
        <v>700000</v>
      </c>
      <c r="G99" s="498">
        <v>2300000</v>
      </c>
      <c r="H99" s="697"/>
      <c r="I99" s="16"/>
      <c r="J99" s="508"/>
      <c r="K99" s="508"/>
      <c r="L99" s="508"/>
      <c r="M99" s="508"/>
    </row>
    <row r="100" spans="1:13" s="220" customFormat="1" x14ac:dyDescent="0.25">
      <c r="A100" s="733" t="s">
        <v>704</v>
      </c>
      <c r="B100" s="509"/>
      <c r="C100" s="700"/>
      <c r="D100" s="701"/>
      <c r="E100" s="466"/>
      <c r="F100" s="699">
        <v>4500000</v>
      </c>
      <c r="G100" s="498"/>
      <c r="H100" s="697"/>
      <c r="I100" s="16"/>
      <c r="J100" s="508"/>
      <c r="K100" s="508"/>
      <c r="L100" s="508"/>
      <c r="M100" s="508"/>
    </row>
    <row r="101" spans="1:13" ht="30" customHeight="1" x14ac:dyDescent="0.25">
      <c r="A101" s="506" t="s">
        <v>796</v>
      </c>
      <c r="B101" s="442"/>
      <c r="C101" s="473">
        <v>6492714.2400000002</v>
      </c>
      <c r="D101" s="474"/>
      <c r="E101" s="474">
        <f>F101-D101</f>
        <v>0</v>
      </c>
      <c r="F101" s="474"/>
      <c r="G101" s="498">
        <v>7300000</v>
      </c>
      <c r="H101" s="504"/>
      <c r="I101" s="697" t="s">
        <v>578</v>
      </c>
      <c r="J101" s="371"/>
      <c r="K101" s="16"/>
      <c r="L101" s="16"/>
      <c r="M101" s="16"/>
    </row>
    <row r="102" spans="1:13" s="220" customFormat="1" ht="15" customHeight="1" x14ac:dyDescent="0.25">
      <c r="A102" s="732" t="s">
        <v>734</v>
      </c>
      <c r="B102" s="507"/>
      <c r="C102" s="590"/>
      <c r="D102" s="591"/>
      <c r="E102" s="590"/>
      <c r="F102" s="591">
        <v>2627400</v>
      </c>
      <c r="G102" s="497"/>
      <c r="H102" s="697"/>
      <c r="I102" s="16"/>
      <c r="J102" s="508"/>
      <c r="K102" s="508"/>
      <c r="L102" s="508"/>
      <c r="M102" s="508"/>
    </row>
    <row r="103" spans="1:13" s="220" customFormat="1" ht="30" customHeight="1" x14ac:dyDescent="0.25">
      <c r="A103" s="732" t="s">
        <v>735</v>
      </c>
      <c r="B103" s="507"/>
      <c r="C103" s="590"/>
      <c r="D103" s="591"/>
      <c r="E103" s="590"/>
      <c r="F103" s="591">
        <v>80000</v>
      </c>
      <c r="G103" s="497"/>
      <c r="H103" s="697"/>
      <c r="I103" s="16"/>
      <c r="J103" s="508"/>
      <c r="K103" s="508"/>
      <c r="L103" s="508"/>
      <c r="M103" s="508"/>
    </row>
    <row r="104" spans="1:13" s="220" customFormat="1" ht="30" customHeight="1" x14ac:dyDescent="0.25">
      <c r="A104" s="732" t="s">
        <v>736</v>
      </c>
      <c r="B104" s="507"/>
      <c r="C104" s="590"/>
      <c r="D104" s="591"/>
      <c r="E104" s="590"/>
      <c r="F104" s="591">
        <v>500000</v>
      </c>
      <c r="G104" s="497"/>
      <c r="H104" s="697"/>
      <c r="I104" s="16"/>
      <c r="J104" s="508"/>
      <c r="K104" s="508"/>
      <c r="L104" s="508"/>
      <c r="M104" s="508"/>
    </row>
    <row r="105" spans="1:13" s="220" customFormat="1" ht="30" customHeight="1" x14ac:dyDescent="0.25">
      <c r="A105" s="732" t="s">
        <v>737</v>
      </c>
      <c r="B105" s="507"/>
      <c r="C105" s="590"/>
      <c r="D105" s="591"/>
      <c r="E105" s="590"/>
      <c r="F105" s="591">
        <v>780000</v>
      </c>
      <c r="G105" s="497"/>
      <c r="H105" s="697"/>
      <c r="I105" s="16"/>
      <c r="J105" s="508"/>
      <c r="K105" s="508"/>
      <c r="L105" s="508"/>
      <c r="M105" s="508"/>
    </row>
    <row r="106" spans="1:13" ht="30" customHeight="1" x14ac:dyDescent="0.25">
      <c r="A106" s="476" t="s">
        <v>356</v>
      </c>
      <c r="B106" s="477"/>
      <c r="C106" s="398">
        <f>SUM(C86:C105)</f>
        <v>22387927.140000001</v>
      </c>
      <c r="D106" s="398">
        <f>SUM(D86:D105)</f>
        <v>0</v>
      </c>
      <c r="E106" s="398">
        <f>SUM(E86:E105)</f>
        <v>19424240</v>
      </c>
      <c r="F106" s="398">
        <f>SUM(F86:F105)</f>
        <v>28911640</v>
      </c>
      <c r="G106" s="398">
        <f>SUM(G86:G105)</f>
        <v>25500000</v>
      </c>
      <c r="H106" s="402">
        <v>32000000</v>
      </c>
      <c r="I106" s="510">
        <f>H106-G106</f>
        <v>6500000</v>
      </c>
      <c r="J106" s="371"/>
      <c r="K106" s="16"/>
      <c r="L106" s="16"/>
      <c r="M106" s="16"/>
    </row>
    <row r="107" spans="1:13" ht="15" customHeight="1" x14ac:dyDescent="0.25">
      <c r="A107" s="478" t="s">
        <v>88</v>
      </c>
      <c r="B107" s="479"/>
      <c r="C107" s="480"/>
      <c r="D107" s="481"/>
      <c r="E107" s="480"/>
      <c r="F107" s="481"/>
      <c r="G107" s="499"/>
      <c r="H107" s="16"/>
      <c r="I107" s="16"/>
      <c r="J107" s="371"/>
      <c r="K107" s="16"/>
      <c r="L107" s="16"/>
      <c r="M107" s="16"/>
    </row>
    <row r="108" spans="1:13" x14ac:dyDescent="0.25">
      <c r="A108" s="373" t="s">
        <v>750</v>
      </c>
      <c r="B108" s="352" t="s">
        <v>94</v>
      </c>
      <c r="C108" s="468"/>
      <c r="D108" s="469"/>
      <c r="E108" s="468"/>
      <c r="F108" s="469">
        <v>1000000</v>
      </c>
      <c r="G108" s="470"/>
      <c r="H108" s="483" t="s">
        <v>779</v>
      </c>
      <c r="I108" s="483"/>
      <c r="J108" s="371"/>
      <c r="K108" s="16"/>
      <c r="L108" s="16"/>
      <c r="M108" s="16"/>
    </row>
    <row r="109" spans="1:13" x14ac:dyDescent="0.25">
      <c r="A109" s="373" t="s">
        <v>95</v>
      </c>
      <c r="B109" s="352" t="s">
        <v>96</v>
      </c>
      <c r="C109" s="468">
        <v>387690</v>
      </c>
      <c r="D109" s="469"/>
      <c r="E109" s="468"/>
      <c r="F109" s="469">
        <v>500000</v>
      </c>
      <c r="G109" s="470"/>
      <c r="H109" s="483" t="s">
        <v>779</v>
      </c>
      <c r="I109" s="483"/>
      <c r="J109" s="371"/>
      <c r="K109" s="16"/>
      <c r="L109" s="16"/>
      <c r="M109" s="16"/>
    </row>
    <row r="110" spans="1:13" ht="25.5" x14ac:dyDescent="0.25">
      <c r="A110" s="373" t="s">
        <v>97</v>
      </c>
      <c r="B110" s="352" t="s">
        <v>98</v>
      </c>
      <c r="C110" s="468"/>
      <c r="D110" s="469"/>
      <c r="E110" s="468"/>
      <c r="F110" s="469">
        <v>1000000</v>
      </c>
      <c r="G110" s="470"/>
      <c r="H110" s="483" t="s">
        <v>779</v>
      </c>
      <c r="I110" s="483"/>
      <c r="J110" s="371"/>
      <c r="K110" s="16"/>
      <c r="L110" s="16"/>
      <c r="M110" s="16"/>
    </row>
    <row r="111" spans="1:13" ht="15" customHeight="1" x14ac:dyDescent="0.25">
      <c r="A111" s="373" t="s">
        <v>414</v>
      </c>
      <c r="B111" s="352" t="s">
        <v>413</v>
      </c>
      <c r="C111" s="468"/>
      <c r="D111" s="469"/>
      <c r="E111" s="468"/>
      <c r="F111" s="469"/>
      <c r="G111" s="497"/>
      <c r="H111" s="483"/>
      <c r="I111" s="483"/>
      <c r="J111" s="371"/>
      <c r="K111" s="16"/>
      <c r="L111" s="16"/>
      <c r="M111" s="16"/>
    </row>
    <row r="112" spans="1:13" ht="15" customHeight="1" x14ac:dyDescent="0.25">
      <c r="A112" s="487" t="s">
        <v>827</v>
      </c>
      <c r="B112" s="352"/>
      <c r="C112" s="468">
        <v>2715690.04</v>
      </c>
      <c r="D112" s="469"/>
      <c r="E112" s="468"/>
      <c r="F112" s="469"/>
      <c r="G112" s="497"/>
      <c r="H112" s="483"/>
      <c r="I112" s="483"/>
      <c r="J112" s="371"/>
      <c r="K112" s="16"/>
      <c r="L112" s="16"/>
      <c r="M112" s="16"/>
    </row>
    <row r="113" spans="1:13" ht="15" customHeight="1" x14ac:dyDescent="0.25">
      <c r="A113" s="373" t="s">
        <v>102</v>
      </c>
      <c r="B113" s="352" t="s">
        <v>103</v>
      </c>
      <c r="C113" s="468"/>
      <c r="D113" s="469"/>
      <c r="E113" s="468"/>
      <c r="F113" s="469"/>
      <c r="G113" s="497"/>
      <c r="H113" s="483"/>
      <c r="I113" s="483"/>
      <c r="J113" s="371"/>
      <c r="K113" s="16"/>
      <c r="L113" s="16"/>
      <c r="M113" s="16"/>
    </row>
    <row r="114" spans="1:13" ht="42" customHeight="1" x14ac:dyDescent="0.25">
      <c r="A114" s="484" t="s">
        <v>753</v>
      </c>
      <c r="B114" s="352"/>
      <c r="C114" s="485">
        <v>146890</v>
      </c>
      <c r="D114" s="469"/>
      <c r="E114" s="485">
        <f t="shared" ref="E114:E115" si="15">F114-D114</f>
        <v>1500000</v>
      </c>
      <c r="F114" s="469">
        <v>1500000</v>
      </c>
      <c r="G114" s="511">
        <v>5000000</v>
      </c>
      <c r="H114" s="483"/>
      <c r="I114" s="483"/>
      <c r="J114" s="371"/>
      <c r="K114" s="16"/>
      <c r="L114" s="16"/>
      <c r="M114" s="16"/>
    </row>
    <row r="115" spans="1:13" ht="15" customHeight="1" x14ac:dyDescent="0.25">
      <c r="A115" s="487" t="s">
        <v>754</v>
      </c>
      <c r="B115" s="354"/>
      <c r="C115" s="488"/>
      <c r="D115" s="489"/>
      <c r="E115" s="488">
        <f t="shared" si="15"/>
        <v>1500000</v>
      </c>
      <c r="F115" s="489">
        <v>1500000</v>
      </c>
      <c r="G115" s="512">
        <v>1500000</v>
      </c>
      <c r="H115" s="483"/>
      <c r="I115" s="483"/>
      <c r="J115" s="371"/>
      <c r="K115" s="16"/>
      <c r="L115" s="16"/>
      <c r="M115" s="16"/>
    </row>
    <row r="116" spans="1:13" ht="15" customHeight="1" x14ac:dyDescent="0.25">
      <c r="A116" s="373" t="s">
        <v>752</v>
      </c>
      <c r="B116" s="352" t="s">
        <v>751</v>
      </c>
      <c r="C116" s="468"/>
      <c r="D116" s="469"/>
      <c r="E116" s="468"/>
      <c r="F116" s="469"/>
      <c r="G116" s="497"/>
      <c r="H116" s="483"/>
      <c r="I116" s="483"/>
      <c r="J116" s="371"/>
      <c r="K116" s="16"/>
      <c r="L116" s="16"/>
      <c r="M116" s="16"/>
    </row>
    <row r="117" spans="1:13" s="220" customFormat="1" ht="25.5" x14ac:dyDescent="0.25">
      <c r="A117" s="732" t="s">
        <v>826</v>
      </c>
      <c r="B117" s="507"/>
      <c r="C117" s="590">
        <v>3596306.43</v>
      </c>
      <c r="D117" s="591"/>
      <c r="E117" s="590"/>
      <c r="F117" s="591"/>
      <c r="G117" s="497"/>
      <c r="H117" s="697"/>
      <c r="I117" s="16"/>
      <c r="J117" s="508"/>
      <c r="K117" s="508"/>
      <c r="L117" s="508"/>
      <c r="M117" s="508"/>
    </row>
    <row r="118" spans="1:13" s="220" customFormat="1" ht="15" customHeight="1" x14ac:dyDescent="0.25">
      <c r="A118" s="732" t="s">
        <v>797</v>
      </c>
      <c r="B118" s="507"/>
      <c r="C118" s="590"/>
      <c r="D118" s="591"/>
      <c r="E118" s="590"/>
      <c r="F118" s="591">
        <v>500000</v>
      </c>
      <c r="G118" s="497"/>
      <c r="H118" s="697"/>
      <c r="I118" s="16"/>
      <c r="J118" s="508"/>
      <c r="K118" s="508"/>
      <c r="L118" s="508"/>
      <c r="M118" s="508"/>
    </row>
    <row r="119" spans="1:13" s="220" customFormat="1" ht="15" customHeight="1" x14ac:dyDescent="0.25">
      <c r="A119" s="434" t="s">
        <v>738</v>
      </c>
      <c r="B119" s="507"/>
      <c r="C119" s="590"/>
      <c r="D119" s="591"/>
      <c r="E119" s="590"/>
      <c r="F119" s="591">
        <v>100000</v>
      </c>
      <c r="G119" s="497"/>
      <c r="H119" s="697"/>
      <c r="I119" s="16"/>
      <c r="J119" s="508"/>
      <c r="K119" s="508"/>
      <c r="L119" s="508"/>
      <c r="M119" s="508"/>
    </row>
    <row r="120" spans="1:13" s="220" customFormat="1" ht="15" customHeight="1" x14ac:dyDescent="0.25">
      <c r="A120" s="434" t="s">
        <v>739</v>
      </c>
      <c r="B120" s="507"/>
      <c r="C120" s="590"/>
      <c r="D120" s="591"/>
      <c r="E120" s="590"/>
      <c r="F120" s="591">
        <v>65000</v>
      </c>
      <c r="G120" s="497"/>
      <c r="H120" s="697"/>
      <c r="I120" s="16"/>
      <c r="J120" s="508"/>
      <c r="K120" s="508"/>
      <c r="L120" s="508"/>
      <c r="M120" s="508"/>
    </row>
    <row r="121" spans="1:13" s="220" customFormat="1" ht="15" customHeight="1" x14ac:dyDescent="0.25">
      <c r="A121" s="732" t="s">
        <v>798</v>
      </c>
      <c r="B121" s="507"/>
      <c r="C121" s="590"/>
      <c r="D121" s="591"/>
      <c r="E121" s="590"/>
      <c r="F121" s="591">
        <v>500000</v>
      </c>
      <c r="G121" s="497"/>
      <c r="H121" s="697"/>
      <c r="I121" s="16"/>
      <c r="J121" s="508"/>
      <c r="K121" s="508"/>
      <c r="L121" s="508"/>
      <c r="M121" s="508"/>
    </row>
    <row r="122" spans="1:13" s="220" customFormat="1" ht="30" customHeight="1" x14ac:dyDescent="0.25">
      <c r="A122" s="732" t="s">
        <v>799</v>
      </c>
      <c r="B122" s="507"/>
      <c r="C122" s="590"/>
      <c r="D122" s="591"/>
      <c r="E122" s="590"/>
      <c r="F122" s="591">
        <v>1500000</v>
      </c>
      <c r="G122" s="497"/>
      <c r="H122" s="697"/>
      <c r="I122" s="16"/>
      <c r="J122" s="508"/>
      <c r="K122" s="508"/>
      <c r="L122" s="508"/>
      <c r="M122" s="508"/>
    </row>
    <row r="123" spans="1:13" s="220" customFormat="1" ht="30" customHeight="1" x14ac:dyDescent="0.25">
      <c r="A123" s="732" t="s">
        <v>800</v>
      </c>
      <c r="B123" s="507"/>
      <c r="C123" s="590"/>
      <c r="D123" s="591"/>
      <c r="E123" s="590"/>
      <c r="F123" s="591">
        <v>500000</v>
      </c>
      <c r="G123" s="497"/>
      <c r="H123" s="697"/>
      <c r="I123" s="16"/>
      <c r="J123" s="508"/>
      <c r="K123" s="508"/>
      <c r="L123" s="508"/>
      <c r="M123" s="508"/>
    </row>
    <row r="124" spans="1:13" s="220" customFormat="1" ht="30" customHeight="1" x14ac:dyDescent="0.25">
      <c r="A124" s="732" t="s">
        <v>801</v>
      </c>
      <c r="B124" s="507"/>
      <c r="C124" s="590"/>
      <c r="D124" s="591"/>
      <c r="E124" s="590"/>
      <c r="F124" s="591">
        <v>2000000</v>
      </c>
      <c r="G124" s="497"/>
      <c r="H124" s="697"/>
      <c r="I124" s="16"/>
      <c r="J124" s="508"/>
      <c r="K124" s="508"/>
      <c r="L124" s="508"/>
      <c r="M124" s="508"/>
    </row>
    <row r="125" spans="1:13" x14ac:dyDescent="0.25">
      <c r="A125" s="373" t="s">
        <v>105</v>
      </c>
      <c r="B125" s="352" t="s">
        <v>106</v>
      </c>
      <c r="C125" s="468"/>
      <c r="D125" s="469"/>
      <c r="E125" s="468"/>
      <c r="F125" s="469">
        <v>500000</v>
      </c>
      <c r="G125" s="470"/>
      <c r="H125" s="483"/>
      <c r="I125" s="483"/>
      <c r="J125" s="371"/>
      <c r="K125" s="16"/>
      <c r="L125" s="16"/>
      <c r="M125" s="16"/>
    </row>
    <row r="126" spans="1:13" ht="15" customHeight="1" x14ac:dyDescent="0.25">
      <c r="A126" s="476" t="s">
        <v>112</v>
      </c>
      <c r="B126" s="477"/>
      <c r="C126" s="398">
        <f>SUM(C107:C125)</f>
        <v>6846576.4700000007</v>
      </c>
      <c r="D126" s="398">
        <f>SUM(D107:D125)</f>
        <v>0</v>
      </c>
      <c r="E126" s="398">
        <f>SUM(E107:E125)</f>
        <v>3000000</v>
      </c>
      <c r="F126" s="398">
        <f>SUM(F107:F125)</f>
        <v>11165000</v>
      </c>
      <c r="G126" s="398">
        <f>SUM(G107:G125)</f>
        <v>6500000</v>
      </c>
      <c r="H126" s="371">
        <f>G126</f>
        <v>6500000</v>
      </c>
      <c r="I126" s="16"/>
      <c r="J126" s="371"/>
      <c r="K126" s="16"/>
      <c r="L126" s="16"/>
      <c r="M126" s="16"/>
    </row>
    <row r="127" spans="1:13" ht="15" customHeight="1" x14ac:dyDescent="0.25">
      <c r="A127" s="491" t="s">
        <v>113</v>
      </c>
      <c r="B127" s="492"/>
      <c r="C127" s="500">
        <f>C106+C126</f>
        <v>29234503.609999999</v>
      </c>
      <c r="D127" s="493">
        <f>+D126+D106</f>
        <v>0</v>
      </c>
      <c r="E127" s="493">
        <f>+E126+E106</f>
        <v>22424240</v>
      </c>
      <c r="F127" s="493">
        <f>+F126+F106</f>
        <v>40076640</v>
      </c>
      <c r="G127" s="493">
        <f>+G126+G106</f>
        <v>32000000</v>
      </c>
      <c r="H127" s="510" t="s">
        <v>597</v>
      </c>
      <c r="I127" s="16"/>
      <c r="J127" s="371"/>
      <c r="K127" s="16"/>
      <c r="L127" s="16"/>
      <c r="M127" s="16"/>
    </row>
    <row r="128" spans="1:13" ht="48" customHeight="1" x14ac:dyDescent="0.25">
      <c r="A128" s="459" t="s">
        <v>303</v>
      </c>
      <c r="B128" s="495"/>
      <c r="C128" s="461"/>
      <c r="D128" s="462"/>
      <c r="E128" s="461"/>
      <c r="F128" s="462"/>
      <c r="G128" s="463"/>
      <c r="H128" s="439"/>
      <c r="I128" s="16"/>
      <c r="J128" s="16"/>
      <c r="K128" s="16"/>
      <c r="L128" s="16"/>
      <c r="M128" s="16"/>
    </row>
    <row r="129" spans="1:10" ht="15" customHeight="1" x14ac:dyDescent="0.25">
      <c r="A129" s="106" t="s">
        <v>298</v>
      </c>
      <c r="B129" s="119"/>
      <c r="C129" s="78"/>
      <c r="D129" s="124"/>
      <c r="E129" s="78"/>
      <c r="F129" s="124"/>
      <c r="G129" s="107"/>
    </row>
    <row r="130" spans="1:10" ht="15" customHeight="1" x14ac:dyDescent="0.25">
      <c r="A130" s="112" t="s">
        <v>80</v>
      </c>
      <c r="B130" s="91" t="s">
        <v>81</v>
      </c>
      <c r="C130" s="79">
        <v>1143593.75</v>
      </c>
      <c r="D130" s="125"/>
      <c r="E130" s="79">
        <f>F130-D130</f>
        <v>1116000</v>
      </c>
      <c r="F130" s="125">
        <v>1116000</v>
      </c>
      <c r="G130" s="109">
        <v>1160000</v>
      </c>
      <c r="H130" s="41">
        <f>750000+410000</f>
        <v>1160000</v>
      </c>
      <c r="J130" s="46">
        <f>SUM(D130:E130)</f>
        <v>1116000</v>
      </c>
    </row>
    <row r="131" spans="1:10" ht="15" customHeight="1" x14ac:dyDescent="0.25">
      <c r="A131" s="106" t="s">
        <v>82</v>
      </c>
      <c r="B131" s="119"/>
      <c r="C131" s="78"/>
      <c r="D131" s="124"/>
      <c r="E131" s="78"/>
      <c r="F131" s="124"/>
      <c r="G131" s="107"/>
    </row>
    <row r="132" spans="1:10" ht="15" customHeight="1" x14ac:dyDescent="0.25">
      <c r="A132" s="112" t="s">
        <v>139</v>
      </c>
      <c r="B132" s="91" t="s">
        <v>138</v>
      </c>
      <c r="C132" s="79"/>
      <c r="D132" s="125"/>
      <c r="E132" s="79"/>
      <c r="F132" s="125"/>
      <c r="G132" s="109"/>
      <c r="J132" s="46">
        <f>SUM(D132:E132)</f>
        <v>0</v>
      </c>
    </row>
    <row r="133" spans="1:10" ht="15" customHeight="1" x14ac:dyDescent="0.25">
      <c r="A133" s="111" t="s">
        <v>347</v>
      </c>
      <c r="B133" s="91"/>
      <c r="C133" s="79"/>
      <c r="D133" s="125"/>
      <c r="E133" s="79"/>
      <c r="F133" s="125">
        <v>300000</v>
      </c>
      <c r="G133" s="109"/>
      <c r="J133" s="46"/>
    </row>
    <row r="134" spans="1:10" ht="15" customHeight="1" x14ac:dyDescent="0.25">
      <c r="A134" s="112" t="s">
        <v>53</v>
      </c>
      <c r="B134" s="91" t="s">
        <v>54</v>
      </c>
      <c r="C134" s="79"/>
      <c r="D134" s="125"/>
      <c r="E134" s="79"/>
      <c r="F134" s="125"/>
      <c r="G134" s="109"/>
      <c r="J134" s="46">
        <f>SUM(D134:E134)</f>
        <v>0</v>
      </c>
    </row>
    <row r="135" spans="1:10" ht="15" customHeight="1" x14ac:dyDescent="0.25">
      <c r="A135" s="112" t="s">
        <v>77</v>
      </c>
      <c r="B135" s="91" t="s">
        <v>78</v>
      </c>
      <c r="C135" s="79">
        <v>591200</v>
      </c>
      <c r="D135" s="125"/>
      <c r="E135" s="79">
        <f t="shared" ref="E135:E136" si="16">F135-D135</f>
        <v>648600</v>
      </c>
      <c r="F135" s="125">
        <v>648600</v>
      </c>
      <c r="G135" s="109"/>
      <c r="J135" s="46"/>
    </row>
    <row r="136" spans="1:10" ht="15" customHeight="1" x14ac:dyDescent="0.25">
      <c r="A136" s="112" t="s">
        <v>58</v>
      </c>
      <c r="B136" s="91"/>
      <c r="C136" s="79">
        <v>5350.5</v>
      </c>
      <c r="D136" s="125"/>
      <c r="E136" s="79">
        <f t="shared" si="16"/>
        <v>24000</v>
      </c>
      <c r="F136" s="125">
        <v>24000</v>
      </c>
      <c r="G136" s="109"/>
      <c r="J136" s="46"/>
    </row>
    <row r="137" spans="1:10" ht="30" customHeight="1" x14ac:dyDescent="0.25">
      <c r="A137" s="112" t="s">
        <v>42</v>
      </c>
      <c r="B137" s="91" t="s">
        <v>176</v>
      </c>
      <c r="C137" s="79"/>
      <c r="D137" s="125"/>
      <c r="E137" s="79"/>
      <c r="F137" s="125"/>
      <c r="G137" s="109"/>
      <c r="J137" s="46">
        <f>SUM(D137:E137)</f>
        <v>0</v>
      </c>
    </row>
    <row r="138" spans="1:10" x14ac:dyDescent="0.25">
      <c r="A138" s="111" t="s">
        <v>609</v>
      </c>
      <c r="B138" s="91"/>
      <c r="C138" s="79">
        <v>123600</v>
      </c>
      <c r="D138" s="125"/>
      <c r="E138" s="79">
        <f t="shared" ref="E138:E140" si="17">F138-D138</f>
        <v>300000</v>
      </c>
      <c r="F138" s="125">
        <v>300000</v>
      </c>
      <c r="G138" s="109"/>
      <c r="J138" s="46"/>
    </row>
    <row r="139" spans="1:10" x14ac:dyDescent="0.25">
      <c r="A139" s="346" t="s">
        <v>647</v>
      </c>
      <c r="B139" s="91"/>
      <c r="C139" s="79"/>
      <c r="D139" s="125"/>
      <c r="E139" s="79"/>
      <c r="F139" s="125"/>
      <c r="G139" s="109"/>
      <c r="J139" s="46"/>
    </row>
    <row r="140" spans="1:10" ht="42" customHeight="1" x14ac:dyDescent="0.25">
      <c r="A140" s="111" t="s">
        <v>787</v>
      </c>
      <c r="B140" s="91"/>
      <c r="C140" s="79">
        <v>446943.14</v>
      </c>
      <c r="D140" s="125"/>
      <c r="E140" s="79">
        <f t="shared" si="17"/>
        <v>700000</v>
      </c>
      <c r="F140" s="125">
        <v>700000</v>
      </c>
      <c r="G140" s="109"/>
      <c r="H140" s="41" t="s">
        <v>618</v>
      </c>
      <c r="J140" s="46"/>
    </row>
    <row r="141" spans="1:10" x14ac:dyDescent="0.25">
      <c r="A141" s="112" t="s">
        <v>41</v>
      </c>
      <c r="B141" s="91" t="s">
        <v>186</v>
      </c>
      <c r="C141" s="79"/>
      <c r="D141" s="125"/>
      <c r="E141" s="79"/>
      <c r="F141" s="125"/>
      <c r="G141" s="109"/>
      <c r="J141" s="46"/>
    </row>
    <row r="142" spans="1:10" ht="30" customHeight="1" x14ac:dyDescent="0.25">
      <c r="A142" s="111" t="s">
        <v>648</v>
      </c>
      <c r="B142" s="91"/>
      <c r="C142" s="79">
        <v>21745400</v>
      </c>
      <c r="D142" s="125"/>
      <c r="E142" s="79">
        <f t="shared" ref="E142:E145" si="18">F142-D142</f>
        <v>24000000</v>
      </c>
      <c r="F142" s="125">
        <v>24000000</v>
      </c>
      <c r="G142" s="109"/>
      <c r="J142" s="46"/>
    </row>
    <row r="143" spans="1:10" ht="15" customHeight="1" x14ac:dyDescent="0.25">
      <c r="A143" s="111" t="s">
        <v>617</v>
      </c>
      <c r="B143" s="91"/>
      <c r="C143" s="79">
        <v>26030700</v>
      </c>
      <c r="D143" s="125"/>
      <c r="E143" s="79">
        <f t="shared" si="18"/>
        <v>27000000</v>
      </c>
      <c r="F143" s="125">
        <v>27000000</v>
      </c>
      <c r="G143" s="109"/>
      <c r="J143" s="46"/>
    </row>
    <row r="144" spans="1:10" ht="30" customHeight="1" x14ac:dyDescent="0.25">
      <c r="A144" s="111" t="s">
        <v>621</v>
      </c>
      <c r="B144" s="91"/>
      <c r="C144" s="79"/>
      <c r="D144" s="125"/>
      <c r="E144" s="79">
        <f t="shared" si="18"/>
        <v>500000</v>
      </c>
      <c r="F144" s="125">
        <v>500000</v>
      </c>
      <c r="G144" s="109"/>
      <c r="J144" s="46"/>
    </row>
    <row r="145" spans="1:10" ht="15" customHeight="1" x14ac:dyDescent="0.25">
      <c r="A145" s="112" t="s">
        <v>579</v>
      </c>
      <c r="B145" s="91" t="s">
        <v>403</v>
      </c>
      <c r="C145" s="79">
        <v>8000000</v>
      </c>
      <c r="D145" s="125"/>
      <c r="E145" s="79">
        <f t="shared" si="18"/>
        <v>8000000</v>
      </c>
      <c r="F145" s="125">
        <v>8000000</v>
      </c>
      <c r="G145" s="109"/>
      <c r="J145" s="46"/>
    </row>
    <row r="146" spans="1:10" ht="15" customHeight="1" x14ac:dyDescent="0.25">
      <c r="A146" s="111" t="s">
        <v>348</v>
      </c>
      <c r="B146" s="91"/>
      <c r="C146" s="79"/>
      <c r="D146" s="125"/>
      <c r="E146" s="79"/>
      <c r="F146" s="125"/>
      <c r="G146" s="109"/>
      <c r="J146" s="46"/>
    </row>
    <row r="147" spans="1:10" ht="30" customHeight="1" x14ac:dyDescent="0.25">
      <c r="A147" s="147" t="s">
        <v>356</v>
      </c>
      <c r="B147" s="148"/>
      <c r="C147" s="101">
        <f>SUM(C130:C146)</f>
        <v>58086787.390000001</v>
      </c>
      <c r="D147" s="101">
        <f>SUM(D130:D146)</f>
        <v>0</v>
      </c>
      <c r="E147" s="101">
        <f>SUM(E130:E146)</f>
        <v>62288600</v>
      </c>
      <c r="F147" s="101">
        <f>SUM(F130:F146)</f>
        <v>62588600</v>
      </c>
      <c r="G147" s="101">
        <f>SUM(G130:G146)</f>
        <v>1160000</v>
      </c>
      <c r="H147" s="41" t="s">
        <v>619</v>
      </c>
      <c r="J147" s="46"/>
    </row>
    <row r="148" spans="1:10" x14ac:dyDescent="0.25">
      <c r="A148" s="142" t="s">
        <v>88</v>
      </c>
      <c r="B148" s="143"/>
      <c r="C148" s="144"/>
      <c r="D148" s="145"/>
      <c r="E148" s="144"/>
      <c r="F148" s="145"/>
      <c r="G148" s="146"/>
      <c r="J148" s="46"/>
    </row>
    <row r="149" spans="1:10" ht="15" customHeight="1" x14ac:dyDescent="0.25">
      <c r="A149" s="112" t="s">
        <v>750</v>
      </c>
      <c r="B149" s="91" t="s">
        <v>94</v>
      </c>
      <c r="C149" s="79"/>
      <c r="D149" s="125"/>
      <c r="E149" s="79"/>
      <c r="F149" s="125">
        <v>500000</v>
      </c>
      <c r="G149" s="109"/>
      <c r="H149" s="54" t="s">
        <v>779</v>
      </c>
      <c r="I149" s="54"/>
      <c r="J149" s="46">
        <f t="shared" ref="J149:J150" si="19">SUM(D149:E149)</f>
        <v>0</v>
      </c>
    </row>
    <row r="150" spans="1:10" ht="15" customHeight="1" x14ac:dyDescent="0.25">
      <c r="A150" s="112" t="s">
        <v>95</v>
      </c>
      <c r="B150" s="91" t="s">
        <v>96</v>
      </c>
      <c r="C150" s="79"/>
      <c r="D150" s="125"/>
      <c r="E150" s="79"/>
      <c r="F150" s="125">
        <v>1000000</v>
      </c>
      <c r="G150" s="109"/>
      <c r="H150" s="54" t="s">
        <v>779</v>
      </c>
      <c r="I150" s="54"/>
      <c r="J150" s="46">
        <f t="shared" si="19"/>
        <v>0</v>
      </c>
    </row>
    <row r="151" spans="1:10" x14ac:dyDescent="0.25">
      <c r="A151" s="111" t="s">
        <v>367</v>
      </c>
      <c r="B151" s="91"/>
      <c r="C151" s="79"/>
      <c r="D151" s="125"/>
      <c r="E151" s="79"/>
      <c r="F151" s="125"/>
      <c r="G151" s="109"/>
      <c r="H151" s="54"/>
      <c r="I151" s="54"/>
      <c r="J151" s="46"/>
    </row>
    <row r="152" spans="1:10" ht="30" customHeight="1" x14ac:dyDescent="0.25">
      <c r="A152" s="112" t="s">
        <v>97</v>
      </c>
      <c r="B152" s="91" t="s">
        <v>98</v>
      </c>
      <c r="C152" s="79"/>
      <c r="D152" s="125"/>
      <c r="E152" s="79"/>
      <c r="F152" s="125">
        <v>500000</v>
      </c>
      <c r="G152" s="109"/>
      <c r="H152" s="54" t="s">
        <v>779</v>
      </c>
      <c r="I152" s="54"/>
      <c r="J152" s="46"/>
    </row>
    <row r="153" spans="1:10" ht="30" customHeight="1" x14ac:dyDescent="0.25">
      <c r="A153" s="111" t="s">
        <v>678</v>
      </c>
      <c r="B153" s="91"/>
      <c r="C153" s="79"/>
      <c r="D153" s="125"/>
      <c r="E153" s="79"/>
      <c r="F153" s="125">
        <v>300000</v>
      </c>
      <c r="G153" s="109"/>
      <c r="H153" s="54"/>
      <c r="I153" s="54"/>
      <c r="J153" s="46"/>
    </row>
    <row r="154" spans="1:10" x14ac:dyDescent="0.25">
      <c r="A154" s="112" t="s">
        <v>102</v>
      </c>
      <c r="B154" s="91" t="s">
        <v>103</v>
      </c>
      <c r="C154" s="79"/>
      <c r="D154" s="125"/>
      <c r="E154" s="79"/>
      <c r="F154" s="125"/>
      <c r="G154" s="109"/>
      <c r="H154" s="54"/>
      <c r="I154" s="54"/>
      <c r="J154" s="46"/>
    </row>
    <row r="155" spans="1:10" x14ac:dyDescent="0.25">
      <c r="A155" s="111" t="s">
        <v>676</v>
      </c>
      <c r="B155" s="91"/>
      <c r="C155" s="79"/>
      <c r="D155" s="125"/>
      <c r="E155" s="79"/>
      <c r="F155" s="125">
        <v>1500000</v>
      </c>
      <c r="G155" s="109"/>
      <c r="H155" s="54"/>
      <c r="I155" s="54"/>
      <c r="J155" s="46"/>
    </row>
    <row r="156" spans="1:10" x14ac:dyDescent="0.25">
      <c r="A156" s="111" t="s">
        <v>677</v>
      </c>
      <c r="B156" s="91"/>
      <c r="C156" s="79"/>
      <c r="D156" s="125"/>
      <c r="E156" s="79"/>
      <c r="F156" s="125">
        <v>2500000</v>
      </c>
      <c r="G156" s="109"/>
      <c r="H156" s="54"/>
      <c r="I156" s="54"/>
      <c r="J156" s="46"/>
    </row>
    <row r="157" spans="1:10" x14ac:dyDescent="0.25">
      <c r="A157" s="112" t="s">
        <v>608</v>
      </c>
      <c r="B157" s="91" t="s">
        <v>106</v>
      </c>
      <c r="C157" s="79"/>
      <c r="D157" s="125"/>
      <c r="E157" s="79"/>
      <c r="F157" s="125">
        <v>1000000</v>
      </c>
      <c r="G157" s="109"/>
      <c r="H157" s="54" t="s">
        <v>779</v>
      </c>
      <c r="I157" s="54"/>
      <c r="J157" s="46"/>
    </row>
    <row r="158" spans="1:10" ht="15" customHeight="1" x14ac:dyDescent="0.25">
      <c r="A158" s="147" t="s">
        <v>112</v>
      </c>
      <c r="B158" s="148"/>
      <c r="C158" s="101">
        <f>SUM(C148:C157)</f>
        <v>0</v>
      </c>
      <c r="D158" s="101">
        <f t="shared" ref="D158:G158" si="20">SUM(D148:D157)</f>
        <v>0</v>
      </c>
      <c r="E158" s="101">
        <f t="shared" si="20"/>
        <v>0</v>
      </c>
      <c r="F158" s="101">
        <f t="shared" si="20"/>
        <v>7300000</v>
      </c>
      <c r="G158" s="101">
        <f t="shared" si="20"/>
        <v>0</v>
      </c>
      <c r="J158" s="46"/>
    </row>
    <row r="159" spans="1:10" ht="15" customHeight="1" x14ac:dyDescent="0.25">
      <c r="A159" s="151" t="s">
        <v>113</v>
      </c>
      <c r="B159" s="152"/>
      <c r="C159" s="153">
        <f>C147+C158</f>
        <v>58086787.390000001</v>
      </c>
      <c r="D159" s="153">
        <f>D147+D158</f>
        <v>0</v>
      </c>
      <c r="E159" s="153">
        <f>E147+E158</f>
        <v>62288600</v>
      </c>
      <c r="F159" s="153">
        <f>F147+F158</f>
        <v>69888600</v>
      </c>
      <c r="G159" s="153">
        <f>G158+G147</f>
        <v>1160000</v>
      </c>
      <c r="H159" s="281">
        <f>G159-G147</f>
        <v>0</v>
      </c>
      <c r="I159" s="52"/>
      <c r="J159" s="46"/>
    </row>
    <row r="160" spans="1:10" ht="39" customHeight="1" x14ac:dyDescent="0.25">
      <c r="A160" s="131" t="s">
        <v>393</v>
      </c>
      <c r="B160" s="150"/>
      <c r="C160" s="133"/>
      <c r="D160" s="134"/>
      <c r="E160" s="133"/>
      <c r="F160" s="134"/>
      <c r="G160" s="135"/>
    </row>
    <row r="161" spans="1:12" ht="15" customHeight="1" x14ac:dyDescent="0.25">
      <c r="A161" s="106" t="s">
        <v>298</v>
      </c>
      <c r="B161" s="119"/>
      <c r="C161" s="78"/>
      <c r="D161" s="124"/>
      <c r="E161" s="78"/>
      <c r="F161" s="124"/>
      <c r="G161" s="107"/>
    </row>
    <row r="162" spans="1:12" s="728" customFormat="1" ht="15" customHeight="1" x14ac:dyDescent="0.25">
      <c r="A162" s="112" t="s">
        <v>80</v>
      </c>
      <c r="B162" s="91" t="s">
        <v>81</v>
      </c>
      <c r="C162" s="125">
        <v>8179250</v>
      </c>
      <c r="D162" s="125"/>
      <c r="E162" s="125">
        <f t="shared" ref="E162" si="21">F162-D162</f>
        <v>9700000</v>
      </c>
      <c r="F162" s="204">
        <v>9700000</v>
      </c>
      <c r="G162" s="109"/>
      <c r="L162" s="729">
        <f>SUM(F162:G162)</f>
        <v>9700000</v>
      </c>
    </row>
    <row r="163" spans="1:12" ht="15" customHeight="1" x14ac:dyDescent="0.25">
      <c r="A163" s="112" t="s">
        <v>139</v>
      </c>
      <c r="B163" s="91" t="s">
        <v>138</v>
      </c>
      <c r="C163" s="125"/>
      <c r="D163" s="125"/>
      <c r="E163" s="125"/>
      <c r="F163" s="204"/>
      <c r="G163" s="109"/>
      <c r="L163" s="46">
        <f>SUM(F163:G163)</f>
        <v>0</v>
      </c>
    </row>
    <row r="164" spans="1:12" ht="15" customHeight="1" x14ac:dyDescent="0.25">
      <c r="A164" s="111" t="s">
        <v>464</v>
      </c>
      <c r="B164" s="91"/>
      <c r="C164" s="125">
        <v>998750</v>
      </c>
      <c r="D164" s="125"/>
      <c r="E164" s="125">
        <f t="shared" ref="E164:E165" si="22">F164-D164</f>
        <v>1000000</v>
      </c>
      <c r="F164" s="204">
        <v>1000000</v>
      </c>
      <c r="G164" s="109"/>
      <c r="L164" s="46"/>
    </row>
    <row r="165" spans="1:12" ht="30" customHeight="1" x14ac:dyDescent="0.25">
      <c r="A165" s="160" t="s">
        <v>42</v>
      </c>
      <c r="B165" s="97" t="s">
        <v>176</v>
      </c>
      <c r="C165" s="140">
        <v>115210.5</v>
      </c>
      <c r="D165" s="140"/>
      <c r="E165" s="140">
        <f t="shared" si="22"/>
        <v>160000</v>
      </c>
      <c r="F165" s="347">
        <v>160000</v>
      </c>
      <c r="G165" s="141"/>
      <c r="L165" s="46">
        <f>SUM(F165:G165)</f>
        <v>160000</v>
      </c>
    </row>
    <row r="166" spans="1:12" ht="30" customHeight="1" x14ac:dyDescent="0.25">
      <c r="A166" s="147" t="s">
        <v>356</v>
      </c>
      <c r="B166" s="148"/>
      <c r="C166" s="101">
        <f>SUM(C161:C165)</f>
        <v>9293210.5</v>
      </c>
      <c r="D166" s="101">
        <f t="shared" ref="D166:G166" si="23">SUM(D161:D165)</f>
        <v>0</v>
      </c>
      <c r="E166" s="101">
        <f t="shared" si="23"/>
        <v>10860000</v>
      </c>
      <c r="F166" s="101">
        <f t="shared" si="23"/>
        <v>10860000</v>
      </c>
      <c r="G166" s="101">
        <f t="shared" si="23"/>
        <v>0</v>
      </c>
      <c r="L166" s="46"/>
    </row>
    <row r="167" spans="1:12" x14ac:dyDescent="0.25">
      <c r="A167" s="142" t="s">
        <v>88</v>
      </c>
      <c r="B167" s="143"/>
      <c r="C167" s="144"/>
      <c r="D167" s="145"/>
      <c r="E167" s="144"/>
      <c r="F167" s="145"/>
      <c r="G167" s="146"/>
      <c r="L167" s="46"/>
    </row>
    <row r="168" spans="1:12" x14ac:dyDescent="0.25">
      <c r="A168" s="112" t="s">
        <v>95</v>
      </c>
      <c r="B168" s="91" t="s">
        <v>96</v>
      </c>
      <c r="C168" s="79"/>
      <c r="D168" s="125"/>
      <c r="E168" s="79"/>
      <c r="F168" s="125">
        <v>500000</v>
      </c>
      <c r="G168" s="118"/>
      <c r="H168" s="54" t="s">
        <v>779</v>
      </c>
      <c r="I168" s="54"/>
      <c r="J168" s="46"/>
    </row>
    <row r="169" spans="1:12" x14ac:dyDescent="0.25">
      <c r="A169" s="112" t="s">
        <v>301</v>
      </c>
      <c r="B169" s="91" t="s">
        <v>296</v>
      </c>
      <c r="C169" s="79">
        <v>1298747</v>
      </c>
      <c r="D169" s="125"/>
      <c r="E169" s="79"/>
      <c r="F169" s="125">
        <v>500000</v>
      </c>
      <c r="G169" s="109"/>
      <c r="H169" s="54" t="s">
        <v>779</v>
      </c>
      <c r="I169" s="54"/>
      <c r="J169" s="54"/>
      <c r="K169" s="54"/>
      <c r="L169" s="46"/>
    </row>
    <row r="170" spans="1:12" x14ac:dyDescent="0.25">
      <c r="A170" s="111" t="s">
        <v>607</v>
      </c>
      <c r="B170" s="91"/>
      <c r="C170" s="79"/>
      <c r="D170" s="125"/>
      <c r="E170" s="79">
        <f t="shared" ref="E170:E171" si="24">F170-D170</f>
        <v>1500000</v>
      </c>
      <c r="F170" s="125">
        <v>1500000</v>
      </c>
      <c r="G170" s="109"/>
      <c r="H170" s="54"/>
      <c r="I170" s="54"/>
      <c r="J170" s="54"/>
      <c r="K170" s="54"/>
      <c r="L170" s="46"/>
    </row>
    <row r="171" spans="1:12" x14ac:dyDescent="0.25">
      <c r="A171" s="111" t="s">
        <v>430</v>
      </c>
      <c r="B171" s="91"/>
      <c r="C171" s="79"/>
      <c r="D171" s="125"/>
      <c r="E171" s="79">
        <f t="shared" si="24"/>
        <v>200000</v>
      </c>
      <c r="F171" s="125">
        <v>200000</v>
      </c>
      <c r="G171" s="109"/>
      <c r="H171" s="54"/>
      <c r="I171" s="54"/>
      <c r="J171" s="54"/>
      <c r="K171" s="54"/>
      <c r="L171" s="46"/>
    </row>
    <row r="172" spans="1:12" ht="30" customHeight="1" x14ac:dyDescent="0.25">
      <c r="A172" s="111" t="s">
        <v>706</v>
      </c>
      <c r="B172" s="91"/>
      <c r="C172" s="79">
        <v>100000</v>
      </c>
      <c r="D172" s="125"/>
      <c r="E172" s="79"/>
      <c r="F172" s="125">
        <v>60000</v>
      </c>
      <c r="G172" s="109"/>
      <c r="H172" s="54"/>
      <c r="I172" s="54"/>
      <c r="J172" s="54"/>
      <c r="K172" s="54"/>
      <c r="L172" s="46"/>
    </row>
    <row r="173" spans="1:12" x14ac:dyDescent="0.25">
      <c r="A173" s="111" t="s">
        <v>707</v>
      </c>
      <c r="B173" s="91"/>
      <c r="C173" s="79"/>
      <c r="D173" s="125"/>
      <c r="E173" s="79"/>
      <c r="F173" s="125">
        <v>800000</v>
      </c>
      <c r="G173" s="109"/>
      <c r="H173" s="54"/>
      <c r="I173" s="54"/>
      <c r="J173" s="54"/>
      <c r="K173" s="54"/>
      <c r="L173" s="46"/>
    </row>
    <row r="174" spans="1:12" x14ac:dyDescent="0.25">
      <c r="A174" s="112" t="s">
        <v>58</v>
      </c>
      <c r="B174" s="91" t="s">
        <v>100</v>
      </c>
      <c r="C174" s="79"/>
      <c r="D174" s="125"/>
      <c r="E174" s="79"/>
      <c r="F174" s="125"/>
      <c r="G174" s="109"/>
      <c r="H174" s="54"/>
      <c r="I174" s="54"/>
      <c r="J174" s="54"/>
      <c r="K174" s="54"/>
      <c r="L174" s="46"/>
    </row>
    <row r="175" spans="1:12" x14ac:dyDescent="0.25">
      <c r="A175" s="112" t="s">
        <v>102</v>
      </c>
      <c r="B175" s="91" t="s">
        <v>658</v>
      </c>
      <c r="C175" s="79"/>
      <c r="D175" s="125"/>
      <c r="E175" s="79"/>
      <c r="F175" s="125"/>
      <c r="G175" s="109"/>
      <c r="H175" s="54"/>
      <c r="I175" s="54"/>
      <c r="J175" s="54"/>
      <c r="K175" s="54"/>
      <c r="L175" s="46"/>
    </row>
    <row r="176" spans="1:12" x14ac:dyDescent="0.25">
      <c r="A176" s="112" t="s">
        <v>105</v>
      </c>
      <c r="B176" s="91" t="s">
        <v>106</v>
      </c>
      <c r="C176" s="79"/>
      <c r="D176" s="125"/>
      <c r="E176" s="79"/>
      <c r="F176" s="125">
        <v>500000</v>
      </c>
      <c r="G176" s="109"/>
      <c r="H176" s="54" t="s">
        <v>779</v>
      </c>
      <c r="I176" s="54"/>
      <c r="J176" s="54"/>
      <c r="K176" s="54"/>
      <c r="L176" s="46"/>
    </row>
    <row r="177" spans="1:12" ht="15" customHeight="1" x14ac:dyDescent="0.25">
      <c r="A177" s="147" t="s">
        <v>112</v>
      </c>
      <c r="B177" s="148"/>
      <c r="C177" s="101">
        <f>SUM(C167:C176)</f>
        <v>1398747</v>
      </c>
      <c r="D177" s="101">
        <f t="shared" ref="D177:G177" si="25">SUM(D167:D176)</f>
        <v>0</v>
      </c>
      <c r="E177" s="101">
        <f t="shared" si="25"/>
        <v>1700000</v>
      </c>
      <c r="F177" s="101">
        <f t="shared" si="25"/>
        <v>4060000</v>
      </c>
      <c r="G177" s="101">
        <f t="shared" si="25"/>
        <v>0</v>
      </c>
      <c r="H177" s="281"/>
      <c r="L177" s="46"/>
    </row>
    <row r="178" spans="1:12" ht="15" customHeight="1" x14ac:dyDescent="0.25">
      <c r="A178" s="155" t="s">
        <v>304</v>
      </c>
      <c r="B178" s="156"/>
      <c r="C178" s="157"/>
      <c r="D178" s="158"/>
      <c r="E178" s="157"/>
      <c r="F178" s="158"/>
      <c r="G178" s="159"/>
      <c r="L178" s="46"/>
    </row>
    <row r="179" spans="1:12" ht="15" customHeight="1" x14ac:dyDescent="0.25">
      <c r="A179" s="106" t="s">
        <v>298</v>
      </c>
      <c r="B179" s="119"/>
      <c r="C179" s="78"/>
      <c r="D179" s="124"/>
      <c r="E179" s="78"/>
      <c r="F179" s="124"/>
      <c r="G179" s="107"/>
    </row>
    <row r="180" spans="1:12" ht="15" customHeight="1" x14ac:dyDescent="0.25">
      <c r="A180" s="112" t="s">
        <v>80</v>
      </c>
      <c r="B180" s="91" t="s">
        <v>81</v>
      </c>
      <c r="C180" s="79">
        <v>895150</v>
      </c>
      <c r="D180" s="125"/>
      <c r="E180" s="79">
        <f t="shared" ref="E180:E184" si="26">F180-D180</f>
        <v>1000000</v>
      </c>
      <c r="F180" s="125">
        <v>1000000</v>
      </c>
      <c r="G180" s="109"/>
      <c r="H180" s="54"/>
      <c r="I180" s="54"/>
      <c r="J180" s="54">
        <v>2000</v>
      </c>
      <c r="K180" s="54"/>
      <c r="L180" s="46">
        <f t="shared" ref="L180:L185" si="27">SUM(F180:G180)</f>
        <v>1000000</v>
      </c>
    </row>
    <row r="181" spans="1:12" ht="15" customHeight="1" x14ac:dyDescent="0.25">
      <c r="A181" s="112" t="s">
        <v>53</v>
      </c>
      <c r="B181" s="91" t="s">
        <v>54</v>
      </c>
      <c r="C181" s="79">
        <v>378050.63</v>
      </c>
      <c r="D181" s="125"/>
      <c r="E181" s="79">
        <f t="shared" si="26"/>
        <v>500000</v>
      </c>
      <c r="F181" s="125">
        <v>500000</v>
      </c>
      <c r="G181" s="109"/>
      <c r="H181" s="54"/>
      <c r="I181" s="54"/>
      <c r="J181" s="54">
        <v>2000</v>
      </c>
      <c r="K181" s="54"/>
      <c r="L181" s="46">
        <f t="shared" si="27"/>
        <v>500000</v>
      </c>
    </row>
    <row r="182" spans="1:12" ht="15" customHeight="1" x14ac:dyDescent="0.25">
      <c r="A182" s="112" t="s">
        <v>139</v>
      </c>
      <c r="B182" s="91" t="s">
        <v>138</v>
      </c>
      <c r="C182" s="79"/>
      <c r="D182" s="125"/>
      <c r="E182" s="79">
        <f t="shared" si="26"/>
        <v>0</v>
      </c>
      <c r="F182" s="125"/>
      <c r="G182" s="118"/>
      <c r="J182" s="46">
        <f t="shared" ref="J182" si="28">SUM(D182:E182)</f>
        <v>0</v>
      </c>
    </row>
    <row r="183" spans="1:12" ht="30" customHeight="1" x14ac:dyDescent="0.25">
      <c r="A183" s="112" t="s">
        <v>118</v>
      </c>
      <c r="B183" s="91" t="s">
        <v>117</v>
      </c>
      <c r="C183" s="79">
        <v>11820</v>
      </c>
      <c r="D183" s="125"/>
      <c r="E183" s="79">
        <f t="shared" si="26"/>
        <v>300000</v>
      </c>
      <c r="F183" s="125">
        <v>300000</v>
      </c>
      <c r="G183" s="109"/>
      <c r="H183" s="54"/>
      <c r="I183" s="54"/>
      <c r="J183" s="54">
        <v>2000</v>
      </c>
      <c r="K183" s="54"/>
      <c r="L183" s="46">
        <f t="shared" si="27"/>
        <v>300000</v>
      </c>
    </row>
    <row r="184" spans="1:12" ht="30" customHeight="1" x14ac:dyDescent="0.25">
      <c r="A184" s="112" t="s">
        <v>42</v>
      </c>
      <c r="B184" s="91" t="s">
        <v>176</v>
      </c>
      <c r="C184" s="79"/>
      <c r="D184" s="125"/>
      <c r="E184" s="79">
        <f t="shared" si="26"/>
        <v>500000</v>
      </c>
      <c r="F184" s="125">
        <v>500000</v>
      </c>
      <c r="G184" s="109"/>
      <c r="H184" s="54"/>
      <c r="I184" s="54"/>
      <c r="J184" s="54">
        <v>2000</v>
      </c>
      <c r="K184" s="54"/>
      <c r="L184" s="46">
        <f t="shared" si="27"/>
        <v>500000</v>
      </c>
    </row>
    <row r="185" spans="1:12" ht="15" customHeight="1" x14ac:dyDescent="0.25">
      <c r="A185" s="112" t="s">
        <v>48</v>
      </c>
      <c r="B185" s="91" t="s">
        <v>49</v>
      </c>
      <c r="C185" s="79"/>
      <c r="D185" s="125"/>
      <c r="E185" s="79"/>
      <c r="F185" s="125">
        <v>300000</v>
      </c>
      <c r="G185" s="109"/>
      <c r="H185" s="300"/>
      <c r="I185" s="54"/>
      <c r="J185" s="300" t="s">
        <v>580</v>
      </c>
      <c r="K185" s="54"/>
      <c r="L185" s="46">
        <f t="shared" si="27"/>
        <v>300000</v>
      </c>
    </row>
    <row r="186" spans="1:12" ht="15" customHeight="1" x14ac:dyDescent="0.25">
      <c r="A186" s="154" t="s">
        <v>419</v>
      </c>
      <c r="B186" s="97"/>
      <c r="C186" s="139">
        <v>534400</v>
      </c>
      <c r="D186" s="140"/>
      <c r="E186" s="139">
        <f t="shared" ref="E186" si="29">F186-D186</f>
        <v>800000</v>
      </c>
      <c r="F186" s="140">
        <v>800000</v>
      </c>
      <c r="G186" s="141"/>
      <c r="H186" s="54"/>
      <c r="I186" s="54"/>
      <c r="J186" s="54" t="s">
        <v>581</v>
      </c>
      <c r="K186" s="54" t="s">
        <v>582</v>
      </c>
      <c r="L186" s="46"/>
    </row>
    <row r="187" spans="1:12" ht="30" customHeight="1" x14ac:dyDescent="0.25">
      <c r="A187" s="147" t="s">
        <v>356</v>
      </c>
      <c r="B187" s="148"/>
      <c r="C187" s="101">
        <f>SUM(C178:C186)</f>
        <v>1819420.63</v>
      </c>
      <c r="D187" s="101">
        <f>SUM(D180:D186)</f>
        <v>0</v>
      </c>
      <c r="E187" s="101">
        <f>SUM(E180:E186)</f>
        <v>3100000</v>
      </c>
      <c r="F187" s="101">
        <f>SUM(F180:F186)</f>
        <v>3400000</v>
      </c>
      <c r="G187" s="101">
        <f>SUM(G180:G186)</f>
        <v>0</v>
      </c>
      <c r="H187" s="46">
        <f>G187</f>
        <v>0</v>
      </c>
      <c r="L187" s="46"/>
    </row>
    <row r="188" spans="1:12" x14ac:dyDescent="0.25">
      <c r="A188" s="142" t="s">
        <v>88</v>
      </c>
      <c r="B188" s="143"/>
      <c r="C188" s="144"/>
      <c r="D188" s="145"/>
      <c r="E188" s="144"/>
      <c r="F188" s="145"/>
      <c r="G188" s="146"/>
      <c r="H188" s="281">
        <f>H187+H177</f>
        <v>0</v>
      </c>
      <c r="L188" s="46"/>
    </row>
    <row r="189" spans="1:12" ht="15" customHeight="1" x14ac:dyDescent="0.25">
      <c r="A189" s="112" t="s">
        <v>750</v>
      </c>
      <c r="B189" s="91" t="s">
        <v>94</v>
      </c>
      <c r="C189" s="79"/>
      <c r="D189" s="125"/>
      <c r="E189" s="79"/>
      <c r="F189" s="125">
        <v>500000</v>
      </c>
      <c r="G189" s="109"/>
      <c r="H189" s="54" t="s">
        <v>779</v>
      </c>
      <c r="I189" s="54"/>
      <c r="J189" s="46">
        <f t="shared" ref="J189:J190" si="30">SUM(D189:E189)</f>
        <v>0</v>
      </c>
    </row>
    <row r="190" spans="1:12" ht="15" customHeight="1" x14ac:dyDescent="0.25">
      <c r="A190" s="112" t="s">
        <v>95</v>
      </c>
      <c r="B190" s="91" t="s">
        <v>96</v>
      </c>
      <c r="C190" s="79"/>
      <c r="D190" s="125"/>
      <c r="E190" s="79"/>
      <c r="F190" s="125">
        <v>500000</v>
      </c>
      <c r="G190" s="109"/>
      <c r="H190" s="54" t="s">
        <v>779</v>
      </c>
      <c r="I190" s="54"/>
      <c r="J190" s="46">
        <f t="shared" si="30"/>
        <v>0</v>
      </c>
    </row>
    <row r="191" spans="1:12" ht="30" customHeight="1" x14ac:dyDescent="0.25">
      <c r="A191" s="112" t="s">
        <v>97</v>
      </c>
      <c r="B191" s="91" t="s">
        <v>98</v>
      </c>
      <c r="C191" s="79"/>
      <c r="D191" s="125"/>
      <c r="E191" s="79"/>
      <c r="F191" s="125">
        <v>500000</v>
      </c>
      <c r="G191" s="109"/>
      <c r="H191" s="54" t="s">
        <v>779</v>
      </c>
      <c r="I191" s="54"/>
      <c r="J191" s="46"/>
    </row>
    <row r="192" spans="1:12" ht="15" customHeight="1" x14ac:dyDescent="0.25">
      <c r="A192" s="147" t="s">
        <v>112</v>
      </c>
      <c r="B192" s="148"/>
      <c r="C192" s="101">
        <f>SUM(C188:C191)</f>
        <v>0</v>
      </c>
      <c r="D192" s="101">
        <f>SUM(D188:D191)</f>
        <v>0</v>
      </c>
      <c r="E192" s="101">
        <f>SUM(E188:E191)</f>
        <v>0</v>
      </c>
      <c r="F192" s="101">
        <f>SUM(F188:F191)</f>
        <v>1500000</v>
      </c>
      <c r="G192" s="101">
        <f>SUM(G188:G191)</f>
        <v>0</v>
      </c>
      <c r="J192" s="46"/>
    </row>
    <row r="193" spans="1:12" ht="15" customHeight="1" x14ac:dyDescent="0.25">
      <c r="A193" s="151" t="s">
        <v>113</v>
      </c>
      <c r="B193" s="152"/>
      <c r="C193" s="153">
        <f>C166+C177+C187</f>
        <v>12511378.129999999</v>
      </c>
      <c r="D193" s="305">
        <f>+D187+D177+D166</f>
        <v>0</v>
      </c>
      <c r="E193" s="305">
        <f>+E187+E177+E166</f>
        <v>15660000</v>
      </c>
      <c r="F193" s="305">
        <f>+F187+F177+F166</f>
        <v>18320000</v>
      </c>
      <c r="G193" s="305">
        <f>G192+G187+G177+G166</f>
        <v>0</v>
      </c>
      <c r="H193" s="46">
        <f>SUM(G193)</f>
        <v>0</v>
      </c>
      <c r="J193" s="46"/>
    </row>
    <row r="194" spans="1:12" ht="30" customHeight="1" x14ac:dyDescent="0.25">
      <c r="A194" s="315" t="s">
        <v>305</v>
      </c>
      <c r="B194" s="150"/>
      <c r="C194" s="133"/>
      <c r="D194" s="134"/>
      <c r="E194" s="133"/>
      <c r="F194" s="134"/>
      <c r="G194" s="135"/>
    </row>
    <row r="195" spans="1:12" ht="15" customHeight="1" x14ac:dyDescent="0.25">
      <c r="A195" s="322" t="s">
        <v>620</v>
      </c>
      <c r="B195" s="91"/>
      <c r="C195" s="79">
        <v>6013184</v>
      </c>
      <c r="D195" s="126"/>
      <c r="E195" s="80">
        <f t="shared" ref="E195:E198" si="31">F195-D195</f>
        <v>10000000</v>
      </c>
      <c r="F195" s="126">
        <v>10000000</v>
      </c>
      <c r="G195" s="314"/>
      <c r="H195" s="49">
        <v>2240900</v>
      </c>
      <c r="I195" s="49">
        <v>6510000</v>
      </c>
      <c r="J195" s="281">
        <f>+H195+I195</f>
        <v>8750900</v>
      </c>
    </row>
    <row r="196" spans="1:12" ht="15" customHeight="1" x14ac:dyDescent="0.25">
      <c r="A196" s="322" t="s">
        <v>555</v>
      </c>
      <c r="B196" s="91"/>
      <c r="C196" s="80">
        <v>1994000</v>
      </c>
      <c r="D196" s="126"/>
      <c r="E196" s="80">
        <f t="shared" si="31"/>
        <v>5000000</v>
      </c>
      <c r="F196" s="126">
        <v>5000000</v>
      </c>
      <c r="G196" s="113"/>
      <c r="H196" s="52" t="s">
        <v>755</v>
      </c>
    </row>
    <row r="197" spans="1:12" ht="42" customHeight="1" x14ac:dyDescent="0.25">
      <c r="A197" s="322" t="s">
        <v>722</v>
      </c>
      <c r="B197" s="91"/>
      <c r="C197" s="79">
        <v>537900</v>
      </c>
      <c r="D197" s="126"/>
      <c r="E197" s="80">
        <f t="shared" si="31"/>
        <v>1500000</v>
      </c>
      <c r="F197" s="126">
        <v>1500000</v>
      </c>
      <c r="G197" s="113"/>
    </row>
    <row r="198" spans="1:12" ht="30" customHeight="1" x14ac:dyDescent="0.25">
      <c r="A198" s="322" t="s">
        <v>557</v>
      </c>
      <c r="B198" s="91"/>
      <c r="C198" s="139">
        <v>708825</v>
      </c>
      <c r="D198" s="126"/>
      <c r="E198" s="80">
        <f t="shared" si="31"/>
        <v>1500000</v>
      </c>
      <c r="F198" s="126">
        <v>1500000</v>
      </c>
      <c r="G198" s="113"/>
      <c r="I198" s="49"/>
    </row>
    <row r="199" spans="1:12" ht="15" customHeight="1" x14ac:dyDescent="0.25">
      <c r="A199" s="323" t="s">
        <v>375</v>
      </c>
      <c r="B199" s="97"/>
      <c r="C199" s="79"/>
      <c r="D199" s="162"/>
      <c r="E199" s="161"/>
      <c r="F199" s="162"/>
      <c r="G199" s="163"/>
      <c r="I199" s="49"/>
    </row>
    <row r="200" spans="1:12" ht="15" customHeight="1" x14ac:dyDescent="0.25">
      <c r="A200" s="322" t="s">
        <v>740</v>
      </c>
      <c r="B200" s="91" t="s">
        <v>138</v>
      </c>
      <c r="C200" s="79"/>
      <c r="D200" s="125"/>
      <c r="E200" s="79"/>
      <c r="F200" s="125"/>
      <c r="G200" s="118"/>
      <c r="J200" s="46">
        <f t="shared" ref="J200" si="32">SUM(D200:E200)</f>
        <v>0</v>
      </c>
    </row>
    <row r="201" spans="1:12" ht="30" customHeight="1" x14ac:dyDescent="0.25">
      <c r="A201" s="323" t="s">
        <v>42</v>
      </c>
      <c r="B201" s="97" t="s">
        <v>176</v>
      </c>
      <c r="C201" s="139"/>
      <c r="D201" s="140"/>
      <c r="E201" s="79">
        <f t="shared" ref="E201" si="33">F201-D201</f>
        <v>0</v>
      </c>
      <c r="F201" s="140"/>
      <c r="G201" s="213"/>
      <c r="J201" s="46">
        <f>SUM(D201:E201)</f>
        <v>0</v>
      </c>
    </row>
    <row r="202" spans="1:12" x14ac:dyDescent="0.25">
      <c r="A202" s="322" t="s">
        <v>95</v>
      </c>
      <c r="B202" s="91" t="s">
        <v>96</v>
      </c>
      <c r="C202" s="79"/>
      <c r="D202" s="125"/>
      <c r="E202" s="79"/>
      <c r="F202" s="125"/>
      <c r="G202" s="118"/>
      <c r="H202" s="54"/>
      <c r="I202" s="54"/>
      <c r="J202" s="46"/>
    </row>
    <row r="203" spans="1:12" ht="30" customHeight="1" x14ac:dyDescent="0.25">
      <c r="A203" s="147" t="s">
        <v>356</v>
      </c>
      <c r="B203" s="148"/>
      <c r="C203" s="101">
        <f>SUM(C194:C202)</f>
        <v>9253909</v>
      </c>
      <c r="D203" s="101">
        <f t="shared" ref="D203:G203" si="34">SUM(D194:D202)</f>
        <v>0</v>
      </c>
      <c r="E203" s="101">
        <f t="shared" si="34"/>
        <v>18000000</v>
      </c>
      <c r="F203" s="101">
        <f t="shared" si="34"/>
        <v>18000000</v>
      </c>
      <c r="G203" s="101">
        <f t="shared" si="34"/>
        <v>0</v>
      </c>
      <c r="H203" s="46">
        <f>G203</f>
        <v>0</v>
      </c>
      <c r="L203" s="46"/>
    </row>
    <row r="204" spans="1:12" x14ac:dyDescent="0.25">
      <c r="A204" s="142" t="s">
        <v>88</v>
      </c>
      <c r="B204" s="143"/>
      <c r="C204" s="144"/>
      <c r="D204" s="145"/>
      <c r="E204" s="144"/>
      <c r="F204" s="145"/>
      <c r="G204" s="146"/>
      <c r="H204" s="281">
        <f>H203+H192</f>
        <v>0</v>
      </c>
      <c r="L204" s="46"/>
    </row>
    <row r="205" spans="1:12" ht="15" customHeight="1" x14ac:dyDescent="0.25">
      <c r="A205" s="112" t="s">
        <v>750</v>
      </c>
      <c r="B205" s="91" t="s">
        <v>94</v>
      </c>
      <c r="C205" s="79"/>
      <c r="D205" s="125"/>
      <c r="E205" s="79"/>
      <c r="F205" s="125">
        <v>500000</v>
      </c>
      <c r="G205" s="109"/>
      <c r="H205" s="54" t="s">
        <v>779</v>
      </c>
      <c r="I205" s="54"/>
      <c r="J205" s="46">
        <f t="shared" ref="J205:J206" si="35">SUM(D205:E205)</f>
        <v>0</v>
      </c>
    </row>
    <row r="206" spans="1:12" ht="15" customHeight="1" x14ac:dyDescent="0.25">
      <c r="A206" s="112" t="s">
        <v>95</v>
      </c>
      <c r="B206" s="91" t="s">
        <v>96</v>
      </c>
      <c r="C206" s="79"/>
      <c r="D206" s="125"/>
      <c r="E206" s="79"/>
      <c r="F206" s="125">
        <v>1000000</v>
      </c>
      <c r="G206" s="109"/>
      <c r="H206" s="54" t="s">
        <v>779</v>
      </c>
      <c r="I206" s="54"/>
      <c r="J206" s="46">
        <f t="shared" si="35"/>
        <v>0</v>
      </c>
    </row>
    <row r="207" spans="1:12" ht="30" customHeight="1" x14ac:dyDescent="0.25">
      <c r="A207" s="112" t="s">
        <v>97</v>
      </c>
      <c r="B207" s="91" t="s">
        <v>98</v>
      </c>
      <c r="C207" s="79"/>
      <c r="D207" s="125"/>
      <c r="E207" s="79"/>
      <c r="F207" s="125">
        <v>500000</v>
      </c>
      <c r="G207" s="109"/>
      <c r="H207" s="54" t="s">
        <v>779</v>
      </c>
      <c r="I207" s="54"/>
      <c r="J207" s="46"/>
    </row>
    <row r="208" spans="1:12" x14ac:dyDescent="0.25">
      <c r="A208" s="112" t="s">
        <v>608</v>
      </c>
      <c r="B208" s="91" t="s">
        <v>106</v>
      </c>
      <c r="C208" s="79"/>
      <c r="D208" s="125"/>
      <c r="E208" s="79"/>
      <c r="F208" s="125">
        <v>1000000</v>
      </c>
      <c r="G208" s="109"/>
      <c r="H208" s="54" t="s">
        <v>779</v>
      </c>
      <c r="I208" s="54"/>
      <c r="J208" s="46"/>
    </row>
    <row r="209" spans="1:11" ht="15" customHeight="1" x14ac:dyDescent="0.25">
      <c r="A209" s="147" t="s">
        <v>112</v>
      </c>
      <c r="B209" s="148"/>
      <c r="C209" s="101">
        <f>SUM(C204:C208)</f>
        <v>0</v>
      </c>
      <c r="D209" s="101">
        <f>SUM(D204:D208)</f>
        <v>0</v>
      </c>
      <c r="E209" s="101">
        <f>SUM(E204:E208)</f>
        <v>0</v>
      </c>
      <c r="F209" s="101">
        <f>SUM(F204:F208)</f>
        <v>3000000</v>
      </c>
      <c r="G209" s="101">
        <f>SUM(G204:G208)</f>
        <v>0</v>
      </c>
      <c r="J209" s="46"/>
    </row>
    <row r="210" spans="1:11" ht="15" customHeight="1" x14ac:dyDescent="0.25">
      <c r="A210" s="151" t="s">
        <v>113</v>
      </c>
      <c r="B210" s="152"/>
      <c r="C210" s="153">
        <f>C203+C209</f>
        <v>9253909</v>
      </c>
      <c r="D210" s="153">
        <f>D203+D209</f>
        <v>0</v>
      </c>
      <c r="E210" s="153">
        <f>E203+E209</f>
        <v>18000000</v>
      </c>
      <c r="F210" s="153">
        <f>F203+F209</f>
        <v>21000000</v>
      </c>
      <c r="G210" s="153">
        <f>G203+G209</f>
        <v>0</v>
      </c>
      <c r="H210" s="46">
        <f>SUM(G210)</f>
        <v>0</v>
      </c>
      <c r="I210" s="281">
        <v>14260000</v>
      </c>
      <c r="J210" s="46">
        <f>I210-H210</f>
        <v>14260000</v>
      </c>
      <c r="K210" s="52" t="s">
        <v>614</v>
      </c>
    </row>
    <row r="211" spans="1:11" ht="30" customHeight="1" x14ac:dyDescent="0.25">
      <c r="A211" s="315" t="s">
        <v>306</v>
      </c>
      <c r="B211" s="150"/>
      <c r="C211" s="133"/>
      <c r="D211" s="134"/>
      <c r="E211" s="133"/>
      <c r="F211" s="134"/>
      <c r="G211" s="702"/>
      <c r="I211" s="49"/>
    </row>
    <row r="212" spans="1:11" ht="30" customHeight="1" x14ac:dyDescent="0.25">
      <c r="A212" s="106" t="s">
        <v>376</v>
      </c>
      <c r="B212" s="119"/>
      <c r="C212" s="78"/>
      <c r="D212" s="124"/>
      <c r="E212" s="78"/>
      <c r="F212" s="124"/>
      <c r="G212" s="107"/>
      <c r="I212" s="281"/>
    </row>
    <row r="213" spans="1:11" ht="15" customHeight="1" x14ac:dyDescent="0.25">
      <c r="A213" s="106" t="s">
        <v>298</v>
      </c>
      <c r="B213" s="119"/>
      <c r="C213" s="78"/>
      <c r="D213" s="124"/>
      <c r="E213" s="78"/>
      <c r="F213" s="124"/>
      <c r="G213" s="107"/>
    </row>
    <row r="214" spans="1:11" ht="15" customHeight="1" x14ac:dyDescent="0.25">
      <c r="A214" s="112" t="s">
        <v>51</v>
      </c>
      <c r="B214" s="91" t="s">
        <v>52</v>
      </c>
      <c r="C214" s="79"/>
      <c r="D214" s="125"/>
      <c r="E214" s="79">
        <f t="shared" ref="E214" si="36">F214-D214</f>
        <v>200000</v>
      </c>
      <c r="F214" s="125">
        <v>200000</v>
      </c>
      <c r="G214" s="109"/>
      <c r="J214" s="46">
        <f>SUM(D214:E214)</f>
        <v>200000</v>
      </c>
    </row>
    <row r="215" spans="1:11" ht="15" customHeight="1" x14ac:dyDescent="0.25">
      <c r="A215" s="112" t="s">
        <v>139</v>
      </c>
      <c r="B215" s="91" t="s">
        <v>138</v>
      </c>
      <c r="C215" s="79"/>
      <c r="D215" s="125"/>
      <c r="E215" s="79"/>
      <c r="F215" s="125"/>
      <c r="G215" s="109"/>
      <c r="J215" s="46">
        <f>SUM(D215:E215)</f>
        <v>0</v>
      </c>
    </row>
    <row r="216" spans="1:11" ht="15" customHeight="1" x14ac:dyDescent="0.25">
      <c r="A216" s="154" t="s">
        <v>466</v>
      </c>
      <c r="B216" s="91"/>
      <c r="C216" s="79">
        <v>918000</v>
      </c>
      <c r="D216" s="125"/>
      <c r="E216" s="79">
        <f t="shared" ref="E216:E225" si="37">F216-D216</f>
        <v>1158000</v>
      </c>
      <c r="F216" s="125">
        <v>1158000</v>
      </c>
      <c r="G216" s="109"/>
      <c r="J216" s="46"/>
    </row>
    <row r="217" spans="1:11" ht="15" customHeight="1" x14ac:dyDescent="0.25">
      <c r="A217" s="154" t="s">
        <v>377</v>
      </c>
      <c r="B217" s="91"/>
      <c r="C217" s="79">
        <v>248220</v>
      </c>
      <c r="D217" s="125"/>
      <c r="E217" s="79">
        <f t="shared" si="37"/>
        <v>260000</v>
      </c>
      <c r="F217" s="125">
        <v>260000</v>
      </c>
      <c r="G217" s="109"/>
      <c r="J217" s="46"/>
    </row>
    <row r="218" spans="1:11" ht="15" customHeight="1" x14ac:dyDescent="0.25">
      <c r="A218" s="154" t="s">
        <v>467</v>
      </c>
      <c r="B218" s="91"/>
      <c r="C218" s="79">
        <v>149500</v>
      </c>
      <c r="D218" s="125"/>
      <c r="E218" s="79">
        <f t="shared" si="37"/>
        <v>300000</v>
      </c>
      <c r="F218" s="125">
        <v>300000</v>
      </c>
      <c r="G218" s="109"/>
      <c r="J218" s="46"/>
    </row>
    <row r="219" spans="1:11" ht="15" customHeight="1" x14ac:dyDescent="0.25">
      <c r="A219" s="154" t="s">
        <v>468</v>
      </c>
      <c r="B219" s="91"/>
      <c r="C219" s="79">
        <v>150000</v>
      </c>
      <c r="D219" s="125"/>
      <c r="E219" s="79">
        <f t="shared" si="37"/>
        <v>300000</v>
      </c>
      <c r="F219" s="125">
        <v>300000</v>
      </c>
      <c r="G219" s="109"/>
      <c r="J219" s="46"/>
    </row>
    <row r="220" spans="1:11" ht="15" customHeight="1" x14ac:dyDescent="0.25">
      <c r="A220" s="154" t="s">
        <v>469</v>
      </c>
      <c r="B220" s="91"/>
      <c r="C220" s="79"/>
      <c r="D220" s="125"/>
      <c r="E220" s="79">
        <f t="shared" si="37"/>
        <v>150000</v>
      </c>
      <c r="F220" s="125">
        <v>150000</v>
      </c>
      <c r="G220" s="109"/>
      <c r="J220" s="46"/>
    </row>
    <row r="221" spans="1:11" ht="30" customHeight="1" x14ac:dyDescent="0.25">
      <c r="A221" s="154" t="s">
        <v>470</v>
      </c>
      <c r="B221" s="91"/>
      <c r="C221" s="79">
        <v>139216</v>
      </c>
      <c r="D221" s="125"/>
      <c r="E221" s="79">
        <f t="shared" si="37"/>
        <v>240000</v>
      </c>
      <c r="F221" s="125">
        <v>240000</v>
      </c>
      <c r="G221" s="109"/>
      <c r="J221" s="46"/>
    </row>
    <row r="222" spans="1:11" ht="15" customHeight="1" x14ac:dyDescent="0.25">
      <c r="A222" s="154" t="s">
        <v>429</v>
      </c>
      <c r="B222" s="91"/>
      <c r="C222" s="79">
        <v>544930</v>
      </c>
      <c r="D222" s="125"/>
      <c r="E222" s="79">
        <f t="shared" si="37"/>
        <v>883000</v>
      </c>
      <c r="F222" s="125">
        <v>883000</v>
      </c>
      <c r="G222" s="109"/>
      <c r="J222" s="46"/>
    </row>
    <row r="223" spans="1:11" ht="15" customHeight="1" x14ac:dyDescent="0.25">
      <c r="A223" s="112" t="s">
        <v>53</v>
      </c>
      <c r="B223" s="91" t="s">
        <v>54</v>
      </c>
      <c r="C223" s="79">
        <v>6547848.1600000001</v>
      </c>
      <c r="D223" s="125"/>
      <c r="E223" s="79">
        <f t="shared" si="37"/>
        <v>12000000</v>
      </c>
      <c r="F223" s="125">
        <v>12000000</v>
      </c>
      <c r="G223" s="109"/>
      <c r="J223" s="46">
        <f t="shared" ref="J223:J228" si="38">SUM(D223:E223)</f>
        <v>12000000</v>
      </c>
    </row>
    <row r="224" spans="1:11" x14ac:dyDescent="0.25">
      <c r="A224" s="112" t="s">
        <v>63</v>
      </c>
      <c r="B224" s="91" t="s">
        <v>64</v>
      </c>
      <c r="C224" s="88">
        <v>17136.66</v>
      </c>
      <c r="D224" s="88"/>
      <c r="E224" s="88"/>
      <c r="F224" s="752">
        <v>18000</v>
      </c>
      <c r="G224" s="752"/>
    </row>
    <row r="225" spans="1:12" ht="15" customHeight="1" x14ac:dyDescent="0.25">
      <c r="A225" s="112" t="s">
        <v>80</v>
      </c>
      <c r="B225" s="91" t="s">
        <v>81</v>
      </c>
      <c r="C225" s="79">
        <v>23658490</v>
      </c>
      <c r="D225" s="125"/>
      <c r="E225" s="79">
        <f t="shared" si="37"/>
        <v>23715600</v>
      </c>
      <c r="F225" s="125">
        <v>23715600</v>
      </c>
      <c r="G225" s="109"/>
      <c r="J225" s="46">
        <f t="shared" si="38"/>
        <v>23715600</v>
      </c>
    </row>
    <row r="226" spans="1:12" ht="15" customHeight="1" x14ac:dyDescent="0.25">
      <c r="A226" s="111" t="s">
        <v>428</v>
      </c>
      <c r="B226" s="91"/>
      <c r="C226" s="79"/>
      <c r="D226" s="125"/>
      <c r="E226" s="79"/>
      <c r="F226" s="125"/>
      <c r="G226" s="109"/>
      <c r="J226" s="46">
        <f t="shared" si="38"/>
        <v>0</v>
      </c>
    </row>
    <row r="227" spans="1:12" ht="30" customHeight="1" x14ac:dyDescent="0.25">
      <c r="A227" s="112" t="s">
        <v>118</v>
      </c>
      <c r="B227" s="91" t="s">
        <v>117</v>
      </c>
      <c r="C227" s="79">
        <v>3738365</v>
      </c>
      <c r="D227" s="125"/>
      <c r="E227" s="79">
        <f t="shared" ref="E227" si="39">F227-D227</f>
        <v>5000000</v>
      </c>
      <c r="F227" s="125">
        <v>5000000</v>
      </c>
      <c r="G227" s="109"/>
      <c r="J227" s="46">
        <f t="shared" si="38"/>
        <v>5000000</v>
      </c>
    </row>
    <row r="228" spans="1:12" ht="30" customHeight="1" x14ac:dyDescent="0.25">
      <c r="A228" s="112" t="s">
        <v>42</v>
      </c>
      <c r="B228" s="91" t="s">
        <v>176</v>
      </c>
      <c r="C228" s="79"/>
      <c r="D228" s="125"/>
      <c r="E228" s="79"/>
      <c r="F228" s="125"/>
      <c r="G228" s="109"/>
      <c r="J228" s="46">
        <f t="shared" si="38"/>
        <v>0</v>
      </c>
    </row>
    <row r="229" spans="1:12" ht="15" customHeight="1" x14ac:dyDescent="0.25">
      <c r="A229" s="111" t="s">
        <v>471</v>
      </c>
      <c r="B229" s="91"/>
      <c r="C229" s="79"/>
      <c r="D229" s="125"/>
      <c r="E229" s="79">
        <f t="shared" ref="E229:E247" si="40">F229-D229</f>
        <v>40000</v>
      </c>
      <c r="F229" s="125">
        <v>40000</v>
      </c>
      <c r="G229" s="109"/>
      <c r="J229" s="46"/>
    </row>
    <row r="230" spans="1:12" ht="30" customHeight="1" x14ac:dyDescent="0.25">
      <c r="A230" s="209" t="s">
        <v>472</v>
      </c>
      <c r="B230" s="91"/>
      <c r="C230" s="203"/>
      <c r="D230" s="125"/>
      <c r="E230" s="203">
        <f t="shared" si="40"/>
        <v>0</v>
      </c>
      <c r="F230" s="125"/>
      <c r="G230" s="204"/>
      <c r="H230" s="52"/>
      <c r="J230" s="52" t="s">
        <v>583</v>
      </c>
      <c r="L230" s="46"/>
    </row>
    <row r="231" spans="1:12" ht="30" customHeight="1" x14ac:dyDescent="0.25">
      <c r="A231" s="209" t="s">
        <v>741</v>
      </c>
      <c r="B231" s="91"/>
      <c r="C231" s="203">
        <v>223896</v>
      </c>
      <c r="D231" s="125"/>
      <c r="E231" s="203"/>
      <c r="F231" s="125">
        <v>3000000</v>
      </c>
      <c r="G231" s="204"/>
      <c r="H231" s="52"/>
      <c r="J231" s="52"/>
      <c r="L231" s="46"/>
    </row>
    <row r="232" spans="1:12" x14ac:dyDescent="0.25">
      <c r="A232" s="209" t="s">
        <v>725</v>
      </c>
      <c r="B232" s="91"/>
      <c r="C232" s="203">
        <v>2532230.1</v>
      </c>
      <c r="D232" s="125"/>
      <c r="E232" s="203"/>
      <c r="F232" s="125">
        <v>5000000</v>
      </c>
      <c r="G232" s="204"/>
      <c r="H232" s="52">
        <v>300000</v>
      </c>
      <c r="I232" s="41" t="s">
        <v>781</v>
      </c>
      <c r="J232" s="52" t="s">
        <v>583</v>
      </c>
      <c r="L232" s="46"/>
    </row>
    <row r="233" spans="1:12" ht="25.5" x14ac:dyDescent="0.25">
      <c r="A233" s="209" t="s">
        <v>742</v>
      </c>
      <c r="B233" s="91"/>
      <c r="C233" s="203"/>
      <c r="D233" s="125"/>
      <c r="E233" s="203"/>
      <c r="F233" s="125">
        <v>60000</v>
      </c>
      <c r="G233" s="204"/>
      <c r="H233" s="52"/>
      <c r="J233" s="52"/>
      <c r="L233" s="46"/>
    </row>
    <row r="234" spans="1:12" ht="25.5" x14ac:dyDescent="0.25">
      <c r="A234" s="209" t="s">
        <v>743</v>
      </c>
      <c r="B234" s="91"/>
      <c r="C234" s="203">
        <v>9896</v>
      </c>
      <c r="D234" s="125"/>
      <c r="E234" s="203"/>
      <c r="F234" s="125">
        <v>100000</v>
      </c>
      <c r="G234" s="204"/>
      <c r="H234" s="52"/>
      <c r="J234" s="52"/>
      <c r="L234" s="46"/>
    </row>
    <row r="235" spans="1:12" ht="25.5" x14ac:dyDescent="0.25">
      <c r="A235" s="209" t="s">
        <v>744</v>
      </c>
      <c r="B235" s="91"/>
      <c r="C235" s="203"/>
      <c r="D235" s="125"/>
      <c r="E235" s="203"/>
      <c r="F235" s="125">
        <v>20000</v>
      </c>
      <c r="G235" s="204"/>
      <c r="H235" s="52"/>
      <c r="J235" s="52"/>
      <c r="L235" s="46"/>
    </row>
    <row r="236" spans="1:12" ht="15" customHeight="1" x14ac:dyDescent="0.25">
      <c r="A236" s="209" t="s">
        <v>728</v>
      </c>
      <c r="B236" s="91"/>
      <c r="C236" s="203"/>
      <c r="D236" s="125"/>
      <c r="E236" s="203">
        <f t="shared" si="40"/>
        <v>150000</v>
      </c>
      <c r="F236" s="125">
        <v>150000</v>
      </c>
      <c r="G236" s="204"/>
      <c r="H236" s="301"/>
      <c r="I236" s="52"/>
      <c r="J236" s="301">
        <v>150000</v>
      </c>
      <c r="K236" s="52" t="s">
        <v>584</v>
      </c>
      <c r="L236" s="46"/>
    </row>
    <row r="237" spans="1:12" ht="44.25" customHeight="1" x14ac:dyDescent="0.25">
      <c r="A237" s="208" t="s">
        <v>745</v>
      </c>
      <c r="B237" s="143"/>
      <c r="C237" s="206"/>
      <c r="D237" s="145"/>
      <c r="E237" s="206"/>
      <c r="F237" s="145">
        <v>50000</v>
      </c>
      <c r="G237" s="207"/>
      <c r="H237" s="302"/>
      <c r="I237" s="52"/>
      <c r="J237" s="302"/>
      <c r="K237" s="52"/>
      <c r="L237" s="46"/>
    </row>
    <row r="238" spans="1:12" ht="32.25" customHeight="1" x14ac:dyDescent="0.25">
      <c r="A238" s="208" t="s">
        <v>746</v>
      </c>
      <c r="B238" s="143"/>
      <c r="C238" s="206"/>
      <c r="D238" s="145"/>
      <c r="E238" s="206"/>
      <c r="F238" s="145">
        <v>100000</v>
      </c>
      <c r="G238" s="207"/>
      <c r="H238" s="302"/>
      <c r="I238" s="52"/>
      <c r="J238" s="302"/>
      <c r="K238" s="52"/>
      <c r="L238" s="46"/>
    </row>
    <row r="239" spans="1:12" ht="32.25" customHeight="1" x14ac:dyDescent="0.25">
      <c r="A239" s="208" t="s">
        <v>747</v>
      </c>
      <c r="B239" s="143"/>
      <c r="C239" s="206"/>
      <c r="D239" s="145"/>
      <c r="E239" s="206"/>
      <c r="F239" s="145">
        <v>100000</v>
      </c>
      <c r="G239" s="207"/>
      <c r="H239" s="302"/>
      <c r="I239" s="52"/>
      <c r="J239" s="302"/>
      <c r="K239" s="52"/>
      <c r="L239" s="46"/>
    </row>
    <row r="240" spans="1:12" ht="32.25" customHeight="1" x14ac:dyDescent="0.25">
      <c r="A240" s="208" t="s">
        <v>748</v>
      </c>
      <c r="B240" s="143"/>
      <c r="C240" s="206">
        <v>4971.16</v>
      </c>
      <c r="D240" s="145"/>
      <c r="E240" s="206"/>
      <c r="F240" s="145">
        <v>80000</v>
      </c>
      <c r="G240" s="207"/>
      <c r="H240" s="302"/>
      <c r="I240" s="52"/>
      <c r="J240" s="302"/>
      <c r="K240" s="52"/>
      <c r="L240" s="46"/>
    </row>
    <row r="241" spans="1:13" ht="32.25" customHeight="1" x14ac:dyDescent="0.25">
      <c r="A241" s="208" t="s">
        <v>749</v>
      </c>
      <c r="B241" s="143"/>
      <c r="C241" s="206"/>
      <c r="D241" s="145"/>
      <c r="E241" s="206"/>
      <c r="F241" s="145">
        <v>500000</v>
      </c>
      <c r="G241" s="207"/>
      <c r="H241" s="302"/>
      <c r="I241" s="52"/>
      <c r="J241" s="302"/>
      <c r="K241" s="52"/>
      <c r="L241" s="46"/>
    </row>
    <row r="242" spans="1:13" ht="15" customHeight="1" x14ac:dyDescent="0.25">
      <c r="A242" s="208" t="s">
        <v>476</v>
      </c>
      <c r="B242" s="143"/>
      <c r="C242" s="206"/>
      <c r="D242" s="145"/>
      <c r="E242" s="206">
        <f t="shared" si="40"/>
        <v>0</v>
      </c>
      <c r="F242" s="145"/>
      <c r="G242" s="207"/>
      <c r="H242" s="302"/>
      <c r="I242" s="52"/>
      <c r="J242" s="302">
        <v>300000</v>
      </c>
      <c r="K242" s="52" t="s">
        <v>584</v>
      </c>
      <c r="L242" s="46"/>
    </row>
    <row r="243" spans="1:13" ht="30" customHeight="1" x14ac:dyDescent="0.25">
      <c r="A243" s="209" t="s">
        <v>477</v>
      </c>
      <c r="B243" s="91"/>
      <c r="C243" s="203"/>
      <c r="D243" s="125"/>
      <c r="E243" s="203">
        <f t="shared" si="40"/>
        <v>0</v>
      </c>
      <c r="F243" s="125"/>
      <c r="G243" s="204"/>
      <c r="H243" s="301"/>
      <c r="I243" s="52"/>
      <c r="J243" s="301">
        <v>100000</v>
      </c>
      <c r="K243" s="52" t="s">
        <v>585</v>
      </c>
      <c r="L243" s="284"/>
    </row>
    <row r="244" spans="1:13" ht="30" customHeight="1" x14ac:dyDescent="0.25">
      <c r="A244" s="209" t="s">
        <v>478</v>
      </c>
      <c r="B244" s="91"/>
      <c r="C244" s="203"/>
      <c r="D244" s="125"/>
      <c r="E244" s="203">
        <f t="shared" si="40"/>
        <v>0</v>
      </c>
      <c r="F244" s="125"/>
      <c r="G244" s="204"/>
      <c r="H244" s="301"/>
      <c r="I244" s="52"/>
      <c r="J244" s="301">
        <v>800000</v>
      </c>
      <c r="K244" s="52" t="s">
        <v>584</v>
      </c>
      <c r="L244" s="46"/>
    </row>
    <row r="245" spans="1:13" ht="30" customHeight="1" x14ac:dyDescent="0.25">
      <c r="A245" s="209" t="s">
        <v>480</v>
      </c>
      <c r="B245" s="91"/>
      <c r="C245" s="203"/>
      <c r="D245" s="125"/>
      <c r="E245" s="203">
        <f t="shared" si="40"/>
        <v>0</v>
      </c>
      <c r="F245" s="125"/>
      <c r="G245" s="204"/>
      <c r="L245" s="46"/>
    </row>
    <row r="246" spans="1:13" ht="30" customHeight="1" x14ac:dyDescent="0.25">
      <c r="A246" s="209" t="s">
        <v>484</v>
      </c>
      <c r="B246" s="91"/>
      <c r="C246" s="203"/>
      <c r="D246" s="125"/>
      <c r="E246" s="203">
        <f t="shared" si="40"/>
        <v>0</v>
      </c>
      <c r="F246" s="125"/>
      <c r="G246" s="204"/>
      <c r="J246" s="46"/>
    </row>
    <row r="247" spans="1:13" ht="15" customHeight="1" x14ac:dyDescent="0.25">
      <c r="A247" s="209" t="s">
        <v>485</v>
      </c>
      <c r="B247" s="91"/>
      <c r="C247" s="203"/>
      <c r="D247" s="125"/>
      <c r="E247" s="203">
        <f t="shared" si="40"/>
        <v>0</v>
      </c>
      <c r="F247" s="125"/>
      <c r="G247" s="204"/>
      <c r="J247" s="46"/>
    </row>
    <row r="248" spans="1:13" ht="30" customHeight="1" x14ac:dyDescent="0.25">
      <c r="A248" s="147" t="s">
        <v>356</v>
      </c>
      <c r="B248" s="148"/>
      <c r="C248" s="101">
        <f>SUM(C213:C247)</f>
        <v>38882699.079999998</v>
      </c>
      <c r="D248" s="101">
        <f>SUM(D213:D247)</f>
        <v>0</v>
      </c>
      <c r="E248" s="101">
        <f>SUM(E213:E247)</f>
        <v>44396600</v>
      </c>
      <c r="F248" s="101">
        <f>SUM(F213:F247)</f>
        <v>53424600</v>
      </c>
      <c r="G248" s="101">
        <f>SUM(G213:G247)</f>
        <v>0</v>
      </c>
      <c r="I248" s="281">
        <f>+H248-G248</f>
        <v>0</v>
      </c>
      <c r="J248" s="46"/>
    </row>
    <row r="249" spans="1:13" ht="15" customHeight="1" x14ac:dyDescent="0.25">
      <c r="A249" s="142" t="s">
        <v>88</v>
      </c>
      <c r="B249" s="143"/>
      <c r="C249" s="144"/>
      <c r="D249" s="145"/>
      <c r="E249" s="144"/>
      <c r="F249" s="145"/>
      <c r="G249" s="146"/>
      <c r="J249" s="46"/>
    </row>
    <row r="250" spans="1:13" ht="15" customHeight="1" x14ac:dyDescent="0.25">
      <c r="A250" s="112" t="s">
        <v>750</v>
      </c>
      <c r="B250" s="91" t="s">
        <v>94</v>
      </c>
      <c r="C250" s="79"/>
      <c r="D250" s="125"/>
      <c r="E250" s="79"/>
      <c r="F250" s="125">
        <v>500000</v>
      </c>
      <c r="G250" s="109"/>
      <c r="H250" s="54" t="s">
        <v>779</v>
      </c>
      <c r="I250" s="54"/>
      <c r="J250" s="46">
        <f t="shared" ref="J250" si="41">SUM(D250:E250)</f>
        <v>0</v>
      </c>
    </row>
    <row r="251" spans="1:13" ht="15" customHeight="1" x14ac:dyDescent="0.25">
      <c r="A251" s="112" t="s">
        <v>95</v>
      </c>
      <c r="B251" s="91" t="s">
        <v>96</v>
      </c>
      <c r="C251" s="79">
        <v>152700</v>
      </c>
      <c r="D251" s="125"/>
      <c r="E251" s="79"/>
      <c r="F251" s="125">
        <v>250000</v>
      </c>
      <c r="G251" s="109"/>
      <c r="H251" s="54" t="s">
        <v>779</v>
      </c>
      <c r="I251" s="54"/>
      <c r="J251" s="46"/>
    </row>
    <row r="252" spans="1:13" ht="30" customHeight="1" x14ac:dyDescent="0.25">
      <c r="A252" s="112" t="s">
        <v>97</v>
      </c>
      <c r="B252" s="91" t="s">
        <v>98</v>
      </c>
      <c r="C252" s="79"/>
      <c r="D252" s="125"/>
      <c r="E252" s="79"/>
      <c r="F252" s="125">
        <v>250000</v>
      </c>
      <c r="G252" s="109"/>
      <c r="H252" s="54" t="s">
        <v>779</v>
      </c>
      <c r="I252" s="54"/>
      <c r="J252" s="46"/>
    </row>
    <row r="253" spans="1:13" ht="15" customHeight="1" x14ac:dyDescent="0.25">
      <c r="A253" s="112" t="s">
        <v>102</v>
      </c>
      <c r="B253" s="91" t="s">
        <v>103</v>
      </c>
      <c r="C253" s="79"/>
      <c r="D253" s="125"/>
      <c r="E253" s="79"/>
      <c r="F253" s="125"/>
      <c r="G253" s="109"/>
      <c r="H253" s="54"/>
      <c r="I253" s="54"/>
      <c r="J253" s="46"/>
    </row>
    <row r="254" spans="1:13" ht="30" customHeight="1" x14ac:dyDescent="0.25">
      <c r="A254" s="111" t="s">
        <v>640</v>
      </c>
      <c r="B254" s="91"/>
      <c r="C254" s="203"/>
      <c r="D254" s="125"/>
      <c r="E254" s="203">
        <f t="shared" ref="E254:E260" si="42">F254-D254</f>
        <v>0</v>
      </c>
      <c r="F254" s="125"/>
      <c r="G254" s="204"/>
      <c r="H254" s="303"/>
      <c r="I254" s="54"/>
      <c r="J254" s="46"/>
      <c r="K254" s="303">
        <v>0.2</v>
      </c>
      <c r="L254" s="54"/>
      <c r="M254" s="46"/>
    </row>
    <row r="255" spans="1:13" ht="30" customHeight="1" x14ac:dyDescent="0.25">
      <c r="A255" s="111" t="s">
        <v>641</v>
      </c>
      <c r="B255" s="91"/>
      <c r="C255" s="203">
        <v>2195000</v>
      </c>
      <c r="D255" s="125"/>
      <c r="E255" s="203">
        <f t="shared" si="42"/>
        <v>0</v>
      </c>
      <c r="F255" s="125"/>
      <c r="G255" s="204"/>
      <c r="H255" s="303"/>
      <c r="I255" s="54"/>
      <c r="J255" s="46"/>
      <c r="K255" s="303"/>
      <c r="L255" s="54"/>
      <c r="M255" s="46"/>
    </row>
    <row r="256" spans="1:13" ht="30" customHeight="1" x14ac:dyDescent="0.25">
      <c r="A256" s="111" t="s">
        <v>642</v>
      </c>
      <c r="B256" s="91"/>
      <c r="C256" s="203"/>
      <c r="D256" s="125"/>
      <c r="E256" s="203">
        <f t="shared" si="42"/>
        <v>0</v>
      </c>
      <c r="F256" s="125"/>
      <c r="G256" s="204"/>
      <c r="H256" s="54"/>
      <c r="I256" s="54"/>
      <c r="J256" s="46"/>
      <c r="K256" s="303">
        <v>0.2</v>
      </c>
      <c r="L256" s="54"/>
      <c r="M256" s="46"/>
    </row>
    <row r="257" spans="1:13" ht="30" customHeight="1" x14ac:dyDescent="0.25">
      <c r="A257" s="111" t="s">
        <v>643</v>
      </c>
      <c r="B257" s="91"/>
      <c r="C257" s="203">
        <v>40000</v>
      </c>
      <c r="D257" s="125"/>
      <c r="E257" s="203">
        <f t="shared" si="42"/>
        <v>0</v>
      </c>
      <c r="F257" s="125"/>
      <c r="G257" s="204"/>
      <c r="H257" s="54"/>
      <c r="I257" s="54"/>
      <c r="J257" s="46"/>
      <c r="K257" s="54" t="s">
        <v>586</v>
      </c>
      <c r="L257" s="54"/>
      <c r="M257" s="46"/>
    </row>
    <row r="258" spans="1:13" ht="15" customHeight="1" x14ac:dyDescent="0.25">
      <c r="A258" s="111" t="s">
        <v>644</v>
      </c>
      <c r="B258" s="198"/>
      <c r="C258" s="58"/>
      <c r="D258" s="199"/>
      <c r="E258" s="58">
        <f t="shared" si="42"/>
        <v>0</v>
      </c>
      <c r="F258" s="199"/>
      <c r="G258" s="200"/>
      <c r="H258" s="300"/>
      <c r="I258" s="54"/>
      <c r="J258" s="46"/>
      <c r="K258" s="54"/>
      <c r="L258" s="54"/>
      <c r="M258" s="46"/>
    </row>
    <row r="259" spans="1:13" ht="30" customHeight="1" x14ac:dyDescent="0.25">
      <c r="A259" s="111" t="s">
        <v>834</v>
      </c>
      <c r="B259" s="91"/>
      <c r="C259" s="203"/>
      <c r="D259" s="125"/>
      <c r="E259" s="203">
        <f t="shared" si="42"/>
        <v>0</v>
      </c>
      <c r="F259" s="125"/>
      <c r="G259" s="204"/>
      <c r="H259" s="303"/>
      <c r="I259" s="54"/>
      <c r="J259" s="46"/>
      <c r="K259" s="303">
        <v>0.2</v>
      </c>
      <c r="L259" s="54"/>
      <c r="M259" s="46"/>
    </row>
    <row r="260" spans="1:13" ht="30" customHeight="1" x14ac:dyDescent="0.25">
      <c r="A260" s="111" t="s">
        <v>835</v>
      </c>
      <c r="B260" s="91"/>
      <c r="C260" s="203"/>
      <c r="D260" s="125"/>
      <c r="E260" s="203">
        <f t="shared" si="42"/>
        <v>0</v>
      </c>
      <c r="F260" s="125"/>
      <c r="G260" s="204"/>
      <c r="H260" s="303"/>
      <c r="I260" s="54"/>
      <c r="J260" s="46"/>
      <c r="K260" s="303">
        <v>0.2</v>
      </c>
      <c r="L260" s="54"/>
      <c r="M260" s="46"/>
    </row>
    <row r="261" spans="1:13" x14ac:dyDescent="0.25">
      <c r="A261" s="112" t="s">
        <v>608</v>
      </c>
      <c r="B261" s="91"/>
      <c r="C261" s="79"/>
      <c r="D261" s="125"/>
      <c r="E261" s="79"/>
      <c r="F261" s="125">
        <v>500000</v>
      </c>
      <c r="G261" s="109"/>
      <c r="H261" s="54" t="s">
        <v>779</v>
      </c>
      <c r="I261" s="54"/>
      <c r="J261" s="46"/>
    </row>
    <row r="262" spans="1:13" ht="15" customHeight="1" x14ac:dyDescent="0.25">
      <c r="A262" s="147" t="s">
        <v>112</v>
      </c>
      <c r="B262" s="148"/>
      <c r="C262" s="101">
        <f>SUM(C249:C261)</f>
        <v>2387700</v>
      </c>
      <c r="D262" s="101">
        <f>SUM(D249:D261)</f>
        <v>0</v>
      </c>
      <c r="E262" s="101">
        <f>SUM(E249:E261)</f>
        <v>0</v>
      </c>
      <c r="F262" s="101">
        <f>SUM(F249:F261)</f>
        <v>1500000</v>
      </c>
      <c r="G262" s="101">
        <f>SUM(G249:G261)</f>
        <v>0</v>
      </c>
      <c r="J262" s="46"/>
    </row>
    <row r="263" spans="1:13" ht="15" customHeight="1" x14ac:dyDescent="0.25">
      <c r="A263" s="326" t="s">
        <v>622</v>
      </c>
      <c r="B263" s="327"/>
      <c r="C263" s="328">
        <f>C248+C262</f>
        <v>41270399.079999998</v>
      </c>
      <c r="D263" s="329">
        <f>D248+D262</f>
        <v>0</v>
      </c>
      <c r="E263" s="328">
        <f>E248+E262</f>
        <v>44396600</v>
      </c>
      <c r="F263" s="329">
        <f>F248+F262</f>
        <v>54924600</v>
      </c>
      <c r="G263" s="329">
        <f>G248+G262</f>
        <v>0</v>
      </c>
      <c r="J263" s="46"/>
    </row>
    <row r="264" spans="1:13" ht="15" customHeight="1" x14ac:dyDescent="0.25">
      <c r="A264" s="142" t="s">
        <v>378</v>
      </c>
      <c r="B264" s="164"/>
      <c r="C264" s="165"/>
      <c r="D264" s="166"/>
      <c r="E264" s="165"/>
      <c r="F264" s="166"/>
      <c r="G264" s="167"/>
    </row>
    <row r="265" spans="1:13" ht="30" customHeight="1" x14ac:dyDescent="0.25">
      <c r="A265" s="112" t="s">
        <v>415</v>
      </c>
      <c r="B265" s="91"/>
      <c r="C265" s="79">
        <v>803905</v>
      </c>
      <c r="D265" s="125"/>
      <c r="E265" s="79">
        <f t="shared" ref="E265:E269" si="43">F265-D265</f>
        <v>0</v>
      </c>
      <c r="F265" s="125"/>
      <c r="G265" s="118"/>
      <c r="J265" s="46">
        <f>SUM(D265:E265)</f>
        <v>0</v>
      </c>
    </row>
    <row r="266" spans="1:13" ht="18" customHeight="1" x14ac:dyDescent="0.25">
      <c r="A266" s="111" t="s">
        <v>633</v>
      </c>
      <c r="B266" s="91"/>
      <c r="C266" s="79"/>
      <c r="D266" s="125"/>
      <c r="E266" s="79">
        <f t="shared" si="43"/>
        <v>5000000</v>
      </c>
      <c r="F266" s="125">
        <v>5000000</v>
      </c>
      <c r="G266" s="118"/>
      <c r="J266" s="46"/>
    </row>
    <row r="267" spans="1:13" ht="15" customHeight="1" x14ac:dyDescent="0.25">
      <c r="A267" s="111" t="s">
        <v>395</v>
      </c>
      <c r="B267" s="91"/>
      <c r="C267" s="79"/>
      <c r="D267" s="125"/>
      <c r="E267" s="79">
        <f t="shared" si="43"/>
        <v>5000000</v>
      </c>
      <c r="F267" s="125">
        <v>5000000</v>
      </c>
      <c r="G267" s="118"/>
      <c r="J267" s="46"/>
    </row>
    <row r="268" spans="1:13" ht="15" customHeight="1" x14ac:dyDescent="0.25">
      <c r="A268" s="111" t="s">
        <v>396</v>
      </c>
      <c r="B268" s="91"/>
      <c r="C268" s="79"/>
      <c r="D268" s="125"/>
      <c r="E268" s="79">
        <f t="shared" si="43"/>
        <v>0</v>
      </c>
      <c r="F268" s="125"/>
      <c r="G268" s="118"/>
      <c r="J268" s="46"/>
    </row>
    <row r="269" spans="1:13" ht="30" customHeight="1" x14ac:dyDescent="0.25">
      <c r="A269" s="111" t="s">
        <v>680</v>
      </c>
      <c r="B269" s="91"/>
      <c r="C269" s="79">
        <v>6781243</v>
      </c>
      <c r="D269" s="125"/>
      <c r="E269" s="79">
        <f t="shared" si="43"/>
        <v>8000000</v>
      </c>
      <c r="F269" s="125">
        <v>8000000</v>
      </c>
      <c r="G269" s="118"/>
      <c r="J269" s="46"/>
    </row>
    <row r="270" spans="1:13" ht="30" customHeight="1" x14ac:dyDescent="0.25">
      <c r="A270" s="111" t="s">
        <v>681</v>
      </c>
      <c r="B270" s="91"/>
      <c r="C270" s="79"/>
      <c r="D270" s="125"/>
      <c r="E270" s="79"/>
      <c r="F270" s="125">
        <v>1000000</v>
      </c>
      <c r="G270" s="118"/>
      <c r="J270" s="46"/>
    </row>
    <row r="271" spans="1:13" x14ac:dyDescent="0.25">
      <c r="A271" s="111" t="s">
        <v>682</v>
      </c>
      <c r="B271" s="91"/>
      <c r="C271" s="79"/>
      <c r="D271" s="125"/>
      <c r="E271" s="79"/>
      <c r="F271" s="125">
        <v>400000</v>
      </c>
      <c r="G271" s="118"/>
      <c r="H271" s="46"/>
      <c r="J271" s="46"/>
    </row>
    <row r="272" spans="1:13" ht="30" customHeight="1" x14ac:dyDescent="0.25">
      <c r="A272" s="111" t="s">
        <v>756</v>
      </c>
      <c r="B272" s="91"/>
      <c r="C272" s="79"/>
      <c r="D272" s="125"/>
      <c r="E272" s="79"/>
      <c r="F272" s="125">
        <v>200000</v>
      </c>
      <c r="G272" s="118"/>
      <c r="H272" s="46"/>
      <c r="J272" s="46"/>
    </row>
    <row r="273" spans="1:10" ht="15" customHeight="1" x14ac:dyDescent="0.25">
      <c r="A273" s="321" t="s">
        <v>63</v>
      </c>
      <c r="B273" s="120" t="s">
        <v>64</v>
      </c>
      <c r="C273" s="203"/>
      <c r="D273" s="125"/>
      <c r="E273" s="203"/>
      <c r="F273" s="125"/>
      <c r="G273" s="239"/>
      <c r="J273" s="46"/>
    </row>
    <row r="274" spans="1:10" ht="42" customHeight="1" x14ac:dyDescent="0.25">
      <c r="A274" s="111" t="s">
        <v>632</v>
      </c>
      <c r="B274" s="120"/>
      <c r="C274" s="203">
        <v>6353.49</v>
      </c>
      <c r="D274" s="125"/>
      <c r="E274" s="203">
        <f t="shared" ref="E274:E287" si="44">F274-D274</f>
        <v>200000</v>
      </c>
      <c r="F274" s="125">
        <v>200000</v>
      </c>
      <c r="G274" s="239"/>
      <c r="J274" s="46"/>
    </row>
    <row r="275" spans="1:10" x14ac:dyDescent="0.25">
      <c r="A275" s="321" t="s">
        <v>48</v>
      </c>
      <c r="B275" s="91" t="s">
        <v>49</v>
      </c>
      <c r="C275" s="203"/>
      <c r="D275" s="125"/>
      <c r="E275" s="203">
        <f t="shared" si="44"/>
        <v>0</v>
      </c>
      <c r="F275" s="125"/>
      <c r="G275" s="239"/>
      <c r="J275" s="46"/>
    </row>
    <row r="276" spans="1:10" ht="30" customHeight="1" x14ac:dyDescent="0.25">
      <c r="A276" s="321" t="s">
        <v>342</v>
      </c>
      <c r="B276" s="120" t="s">
        <v>176</v>
      </c>
      <c r="C276" s="203">
        <v>59239.76</v>
      </c>
      <c r="D276" s="125"/>
      <c r="E276" s="203"/>
      <c r="F276" s="125"/>
      <c r="G276" s="239"/>
      <c r="J276" s="46"/>
    </row>
    <row r="277" spans="1:10" ht="42" customHeight="1" x14ac:dyDescent="0.25">
      <c r="A277" s="111" t="s">
        <v>629</v>
      </c>
      <c r="B277" s="91"/>
      <c r="C277" s="203">
        <v>97116</v>
      </c>
      <c r="D277" s="125"/>
      <c r="E277" s="203">
        <f t="shared" si="44"/>
        <v>0</v>
      </c>
      <c r="F277" s="125"/>
      <c r="G277" s="239"/>
      <c r="J277" s="46"/>
    </row>
    <row r="278" spans="1:10" ht="15" customHeight="1" x14ac:dyDescent="0.25">
      <c r="A278" s="111" t="s">
        <v>630</v>
      </c>
      <c r="B278" s="91"/>
      <c r="C278" s="203"/>
      <c r="D278" s="125"/>
      <c r="E278" s="203">
        <f t="shared" si="44"/>
        <v>0</v>
      </c>
      <c r="F278" s="125"/>
      <c r="G278" s="239"/>
      <c r="J278" s="46"/>
    </row>
    <row r="279" spans="1:10" ht="30" customHeight="1" x14ac:dyDescent="0.25">
      <c r="A279" s="111" t="s">
        <v>631</v>
      </c>
      <c r="B279" s="91"/>
      <c r="C279" s="203"/>
      <c r="D279" s="125"/>
      <c r="E279" s="203">
        <f t="shared" si="44"/>
        <v>0</v>
      </c>
      <c r="F279" s="125"/>
      <c r="G279" s="239"/>
      <c r="J279" s="46"/>
    </row>
    <row r="280" spans="1:10" x14ac:dyDescent="0.25">
      <c r="A280" s="111" t="s">
        <v>635</v>
      </c>
      <c r="B280" s="91"/>
      <c r="C280" s="203"/>
      <c r="D280" s="125"/>
      <c r="E280" s="203">
        <f t="shared" si="44"/>
        <v>70000</v>
      </c>
      <c r="F280" s="125">
        <v>70000</v>
      </c>
      <c r="G280" s="239"/>
      <c r="J280" s="46"/>
    </row>
    <row r="281" spans="1:10" x14ac:dyDescent="0.25">
      <c r="A281" s="111" t="s">
        <v>694</v>
      </c>
      <c r="B281" s="91"/>
      <c r="C281" s="203"/>
      <c r="D281" s="125"/>
      <c r="E281" s="203"/>
      <c r="F281" s="125">
        <v>100000</v>
      </c>
      <c r="G281" s="239"/>
      <c r="J281" s="46"/>
    </row>
    <row r="282" spans="1:10" x14ac:dyDescent="0.25">
      <c r="A282" s="111" t="s">
        <v>695</v>
      </c>
      <c r="B282" s="91"/>
      <c r="C282" s="203"/>
      <c r="D282" s="125"/>
      <c r="E282" s="203"/>
      <c r="F282" s="125">
        <v>70000</v>
      </c>
      <c r="G282" s="239"/>
      <c r="J282" s="46"/>
    </row>
    <row r="283" spans="1:10" x14ac:dyDescent="0.25">
      <c r="A283" s="111" t="s">
        <v>636</v>
      </c>
      <c r="B283" s="91"/>
      <c r="C283" s="203"/>
      <c r="D283" s="125"/>
      <c r="E283" s="203">
        <f t="shared" si="44"/>
        <v>250000</v>
      </c>
      <c r="F283" s="125">
        <v>250000</v>
      </c>
      <c r="G283" s="239"/>
      <c r="J283" s="46"/>
    </row>
    <row r="284" spans="1:10" x14ac:dyDescent="0.25">
      <c r="A284" s="321" t="s">
        <v>51</v>
      </c>
      <c r="B284" s="91" t="s">
        <v>52</v>
      </c>
      <c r="C284" s="203">
        <v>4496.13</v>
      </c>
      <c r="D284" s="125"/>
      <c r="E284" s="203">
        <f t="shared" si="44"/>
        <v>0</v>
      </c>
      <c r="F284" s="125"/>
      <c r="G284" s="239"/>
      <c r="J284" s="46"/>
    </row>
    <row r="285" spans="1:10" ht="16.5" customHeight="1" x14ac:dyDescent="0.25">
      <c r="A285" s="321" t="s">
        <v>139</v>
      </c>
      <c r="B285" s="91" t="s">
        <v>138</v>
      </c>
      <c r="C285" s="203">
        <v>27171.06</v>
      </c>
      <c r="D285" s="125"/>
      <c r="E285" s="203">
        <f t="shared" si="44"/>
        <v>30000</v>
      </c>
      <c r="F285" s="125">
        <v>30000</v>
      </c>
      <c r="G285" s="239"/>
      <c r="J285" s="46"/>
    </row>
    <row r="286" spans="1:10" x14ac:dyDescent="0.25">
      <c r="A286" s="321" t="s">
        <v>53</v>
      </c>
      <c r="B286" s="91" t="s">
        <v>54</v>
      </c>
      <c r="C286" s="203"/>
      <c r="D286" s="125"/>
      <c r="E286" s="203">
        <f t="shared" si="44"/>
        <v>0</v>
      </c>
      <c r="F286" s="125"/>
      <c r="G286" s="239"/>
      <c r="J286" s="46"/>
    </row>
    <row r="287" spans="1:10" x14ac:dyDescent="0.25">
      <c r="A287" s="321" t="s">
        <v>80</v>
      </c>
      <c r="B287" s="91" t="s">
        <v>81</v>
      </c>
      <c r="C287" s="203">
        <v>130650</v>
      </c>
      <c r="D287" s="125"/>
      <c r="E287" s="203">
        <f t="shared" si="44"/>
        <v>300000</v>
      </c>
      <c r="F287" s="125">
        <v>300000</v>
      </c>
      <c r="G287" s="239"/>
      <c r="J287" s="46"/>
    </row>
    <row r="288" spans="1:10" ht="30" customHeight="1" x14ac:dyDescent="0.25">
      <c r="A288" s="147" t="s">
        <v>356</v>
      </c>
      <c r="B288" s="147"/>
      <c r="C288" s="712">
        <f>SUM(C265:C287)</f>
        <v>7910174.4399999995</v>
      </c>
      <c r="D288" s="712">
        <f>SUM(D265:D287)</f>
        <v>0</v>
      </c>
      <c r="E288" s="712">
        <f>SUM(E265:E287)</f>
        <v>18850000</v>
      </c>
      <c r="F288" s="712">
        <f>SUM(F265:F287)</f>
        <v>20620000</v>
      </c>
      <c r="G288" s="712">
        <f>SUM(G265:G287)</f>
        <v>0</v>
      </c>
      <c r="H288" s="41">
        <v>41550000</v>
      </c>
      <c r="I288" s="46">
        <f>+G288-H288</f>
        <v>-41550000</v>
      </c>
      <c r="J288" s="46"/>
    </row>
    <row r="289" spans="1:10" ht="15" customHeight="1" x14ac:dyDescent="0.25">
      <c r="A289" s="324" t="s">
        <v>88</v>
      </c>
      <c r="B289" s="143"/>
      <c r="C289" s="206"/>
      <c r="D289" s="145"/>
      <c r="E289" s="206"/>
      <c r="F289" s="145"/>
      <c r="G289" s="710"/>
      <c r="J289" s="46"/>
    </row>
    <row r="290" spans="1:10" ht="15" customHeight="1" x14ac:dyDescent="0.25">
      <c r="A290" s="321" t="s">
        <v>90</v>
      </c>
      <c r="B290" s="91" t="s">
        <v>91</v>
      </c>
      <c r="C290" s="203"/>
      <c r="D290" s="125"/>
      <c r="E290" s="203"/>
      <c r="F290" s="125"/>
      <c r="G290" s="239"/>
      <c r="J290" s="46"/>
    </row>
    <row r="291" spans="1:10" ht="30" customHeight="1" x14ac:dyDescent="0.25">
      <c r="A291" s="209" t="s">
        <v>683</v>
      </c>
      <c r="B291" s="91"/>
      <c r="C291" s="203"/>
      <c r="D291" s="125"/>
      <c r="E291" s="203"/>
      <c r="F291" s="125">
        <v>500000</v>
      </c>
      <c r="G291" s="239"/>
      <c r="J291" s="46"/>
    </row>
    <row r="292" spans="1:10" ht="30" customHeight="1" x14ac:dyDescent="0.25">
      <c r="A292" s="209" t="s">
        <v>684</v>
      </c>
      <c r="B292" s="91"/>
      <c r="C292" s="203">
        <v>599967.79</v>
      </c>
      <c r="D292" s="125"/>
      <c r="E292" s="203"/>
      <c r="F292" s="125">
        <v>600000</v>
      </c>
      <c r="G292" s="239"/>
      <c r="J292" s="46"/>
    </row>
    <row r="293" spans="1:10" ht="30" customHeight="1" x14ac:dyDescent="0.25">
      <c r="A293" s="209" t="s">
        <v>685</v>
      </c>
      <c r="B293" s="91"/>
      <c r="C293" s="203">
        <v>257174.75</v>
      </c>
      <c r="D293" s="125"/>
      <c r="E293" s="203"/>
      <c r="F293" s="125">
        <v>500000</v>
      </c>
      <c r="G293" s="239"/>
      <c r="J293" s="46"/>
    </row>
    <row r="294" spans="1:10" ht="30" customHeight="1" x14ac:dyDescent="0.25">
      <c r="A294" s="209" t="s">
        <v>686</v>
      </c>
      <c r="B294" s="91"/>
      <c r="C294" s="203"/>
      <c r="D294" s="125"/>
      <c r="E294" s="203"/>
      <c r="F294" s="125">
        <v>1000000</v>
      </c>
      <c r="G294" s="239"/>
      <c r="J294" s="46"/>
    </row>
    <row r="295" spans="1:10" ht="30" customHeight="1" x14ac:dyDescent="0.25">
      <c r="A295" s="209" t="s">
        <v>687</v>
      </c>
      <c r="B295" s="91"/>
      <c r="C295" s="203"/>
      <c r="D295" s="125"/>
      <c r="E295" s="203"/>
      <c r="F295" s="125">
        <v>3000000</v>
      </c>
      <c r="G295" s="239"/>
      <c r="J295" s="46"/>
    </row>
    <row r="296" spans="1:10" x14ac:dyDescent="0.25">
      <c r="A296" s="209" t="s">
        <v>688</v>
      </c>
      <c r="B296" s="91"/>
      <c r="C296" s="203"/>
      <c r="D296" s="125"/>
      <c r="E296" s="203"/>
      <c r="F296" s="125">
        <v>2000000</v>
      </c>
      <c r="G296" s="239"/>
      <c r="J296" s="46"/>
    </row>
    <row r="297" spans="1:10" x14ac:dyDescent="0.25">
      <c r="A297" s="209" t="s">
        <v>689</v>
      </c>
      <c r="B297" s="91"/>
      <c r="C297" s="203"/>
      <c r="D297" s="125"/>
      <c r="E297" s="203"/>
      <c r="F297" s="125">
        <v>500000</v>
      </c>
      <c r="G297" s="239"/>
      <c r="J297" s="46"/>
    </row>
    <row r="298" spans="1:10" ht="30" customHeight="1" x14ac:dyDescent="0.25">
      <c r="A298" s="209" t="s">
        <v>690</v>
      </c>
      <c r="B298" s="91"/>
      <c r="C298" s="203"/>
      <c r="D298" s="125"/>
      <c r="E298" s="203"/>
      <c r="F298" s="125">
        <v>700000</v>
      </c>
      <c r="G298" s="239"/>
      <c r="J298" s="46"/>
    </row>
    <row r="299" spans="1:10" ht="30" customHeight="1" x14ac:dyDescent="0.25">
      <c r="A299" s="209" t="s">
        <v>691</v>
      </c>
      <c r="B299" s="91"/>
      <c r="C299" s="203"/>
      <c r="D299" s="125"/>
      <c r="E299" s="203"/>
      <c r="F299" s="125">
        <v>800000</v>
      </c>
      <c r="G299" s="239"/>
      <c r="J299" s="46"/>
    </row>
    <row r="300" spans="1:10" ht="30" customHeight="1" x14ac:dyDescent="0.25">
      <c r="A300" s="209" t="s">
        <v>692</v>
      </c>
      <c r="B300" s="91"/>
      <c r="C300" s="203"/>
      <c r="D300" s="125"/>
      <c r="E300" s="203"/>
      <c r="F300" s="125">
        <v>500000</v>
      </c>
      <c r="G300" s="239"/>
      <c r="J300" s="46"/>
    </row>
    <row r="301" spans="1:10" x14ac:dyDescent="0.25">
      <c r="A301" s="209" t="s">
        <v>693</v>
      </c>
      <c r="B301" s="91"/>
      <c r="C301" s="203"/>
      <c r="D301" s="125"/>
      <c r="E301" s="203"/>
      <c r="F301" s="125">
        <v>500000</v>
      </c>
      <c r="G301" s="239"/>
      <c r="J301" s="46"/>
    </row>
    <row r="302" spans="1:10" ht="15" customHeight="1" x14ac:dyDescent="0.25">
      <c r="A302" s="209" t="s">
        <v>659</v>
      </c>
      <c r="B302" s="91"/>
      <c r="C302" s="203"/>
      <c r="D302" s="125"/>
      <c r="E302" s="203"/>
      <c r="F302" s="125"/>
      <c r="G302" s="239"/>
      <c r="J302" s="46"/>
    </row>
    <row r="303" spans="1:10" ht="15" customHeight="1" x14ac:dyDescent="0.25">
      <c r="A303" s="209" t="s">
        <v>634</v>
      </c>
      <c r="B303" s="198"/>
      <c r="C303" s="58"/>
      <c r="D303" s="199"/>
      <c r="E303" s="58"/>
      <c r="F303" s="199"/>
      <c r="G303" s="240"/>
      <c r="J303" s="46"/>
    </row>
    <row r="304" spans="1:10" ht="15" customHeight="1" x14ac:dyDescent="0.25">
      <c r="A304" s="321" t="s">
        <v>95</v>
      </c>
      <c r="B304" s="91" t="s">
        <v>96</v>
      </c>
      <c r="C304" s="203">
        <v>166000</v>
      </c>
      <c r="D304" s="125"/>
      <c r="E304" s="203">
        <f t="shared" ref="E304:E306" si="45">F304-D304</f>
        <v>500000</v>
      </c>
      <c r="F304" s="125">
        <v>500000</v>
      </c>
      <c r="G304" s="204"/>
      <c r="H304" s="41" t="s">
        <v>779</v>
      </c>
      <c r="J304" s="46"/>
    </row>
    <row r="305" spans="1:12" ht="25.5" x14ac:dyDescent="0.25">
      <c r="A305" s="321" t="s">
        <v>97</v>
      </c>
      <c r="B305" s="91" t="s">
        <v>98</v>
      </c>
      <c r="C305" s="203">
        <v>216475</v>
      </c>
      <c r="D305" s="125"/>
      <c r="E305" s="203">
        <f t="shared" si="45"/>
        <v>500000</v>
      </c>
      <c r="F305" s="125">
        <v>500000</v>
      </c>
      <c r="G305" s="204"/>
      <c r="H305" s="41" t="s">
        <v>779</v>
      </c>
      <c r="J305" s="46"/>
    </row>
    <row r="306" spans="1:12" ht="15" customHeight="1" x14ac:dyDescent="0.25">
      <c r="A306" s="321" t="s">
        <v>608</v>
      </c>
      <c r="B306" s="91" t="s">
        <v>106</v>
      </c>
      <c r="C306" s="203">
        <v>614461.5</v>
      </c>
      <c r="D306" s="125"/>
      <c r="E306" s="203">
        <f t="shared" si="45"/>
        <v>500000</v>
      </c>
      <c r="F306" s="125">
        <v>500000</v>
      </c>
      <c r="G306" s="204"/>
      <c r="H306" s="41" t="s">
        <v>779</v>
      </c>
      <c r="J306" s="46"/>
    </row>
    <row r="307" spans="1:12" ht="15" customHeight="1" x14ac:dyDescent="0.25">
      <c r="A307" s="321" t="s">
        <v>637</v>
      </c>
      <c r="B307" s="91" t="s">
        <v>103</v>
      </c>
      <c r="C307" s="203"/>
      <c r="D307" s="125"/>
      <c r="E307" s="203"/>
      <c r="F307" s="125"/>
      <c r="G307" s="301"/>
      <c r="J307" s="46"/>
    </row>
    <row r="308" spans="1:12" ht="15" customHeight="1" x14ac:dyDescent="0.25">
      <c r="A308" s="209" t="s">
        <v>639</v>
      </c>
      <c r="B308" s="91"/>
      <c r="C308" s="203"/>
      <c r="D308" s="125"/>
      <c r="E308" s="203">
        <f>F308-D308</f>
        <v>0</v>
      </c>
      <c r="F308" s="125"/>
      <c r="G308" s="239"/>
      <c r="J308" s="46"/>
    </row>
    <row r="309" spans="1:12" ht="30" customHeight="1" x14ac:dyDescent="0.25">
      <c r="A309" s="209" t="s">
        <v>638</v>
      </c>
      <c r="B309" s="91"/>
      <c r="C309" s="203"/>
      <c r="D309" s="125"/>
      <c r="E309" s="203"/>
      <c r="F309" s="125"/>
      <c r="G309" s="204"/>
      <c r="J309" s="46"/>
    </row>
    <row r="310" spans="1:12" ht="15" customHeight="1" x14ac:dyDescent="0.25">
      <c r="A310" s="147" t="s">
        <v>379</v>
      </c>
      <c r="B310" s="148"/>
      <c r="C310" s="101">
        <f>SUM(C290:C309)</f>
        <v>1854079.04</v>
      </c>
      <c r="D310" s="101">
        <f>SUM(D290:D309)</f>
        <v>0</v>
      </c>
      <c r="E310" s="101">
        <f>SUM(E290:E309)</f>
        <v>1500000</v>
      </c>
      <c r="F310" s="101">
        <f>SUM(F290:F309)</f>
        <v>12100000</v>
      </c>
      <c r="G310" s="101">
        <f>SUM(G290:G309)</f>
        <v>0</v>
      </c>
      <c r="H310" s="46"/>
      <c r="J310" s="41">
        <v>32000000</v>
      </c>
      <c r="K310" s="41" t="s">
        <v>591</v>
      </c>
    </row>
    <row r="311" spans="1:12" ht="15" customHeight="1" x14ac:dyDescent="0.25">
      <c r="A311" s="147" t="s">
        <v>729</v>
      </c>
      <c r="B311" s="148"/>
      <c r="C311" s="101">
        <f>C288+C310</f>
        <v>9764253.4800000004</v>
      </c>
      <c r="D311" s="101">
        <f>D288+D310</f>
        <v>0</v>
      </c>
      <c r="E311" s="101">
        <f>E288+E310</f>
        <v>20350000</v>
      </c>
      <c r="F311" s="101">
        <f>F288+F310</f>
        <v>32720000</v>
      </c>
      <c r="G311" s="101">
        <f>G288+G310</f>
        <v>0</v>
      </c>
    </row>
    <row r="312" spans="1:12" ht="15" customHeight="1" x14ac:dyDescent="0.25">
      <c r="A312" s="151" t="s">
        <v>113</v>
      </c>
      <c r="B312" s="152"/>
      <c r="C312" s="153">
        <f>C263+C311</f>
        <v>51034652.560000002</v>
      </c>
      <c r="D312" s="153">
        <f>D263+D311</f>
        <v>0</v>
      </c>
      <c r="E312" s="153">
        <f>E263+E311</f>
        <v>64746600</v>
      </c>
      <c r="F312" s="153">
        <f>F263+F311</f>
        <v>87644600</v>
      </c>
      <c r="G312" s="153">
        <f>G263+G311</f>
        <v>0</v>
      </c>
      <c r="H312" s="46">
        <f>+G312</f>
        <v>0</v>
      </c>
      <c r="I312" s="281">
        <f>+H312-F312</f>
        <v>-87644600</v>
      </c>
      <c r="J312" s="46" t="e">
        <f>#REF!+J310</f>
        <v>#REF!</v>
      </c>
    </row>
    <row r="313" spans="1:12" ht="30" customHeight="1" x14ac:dyDescent="0.25">
      <c r="A313" s="315" t="s">
        <v>343</v>
      </c>
      <c r="B313" s="150"/>
      <c r="C313" s="133"/>
      <c r="D313" s="134"/>
      <c r="E313" s="133"/>
      <c r="F313" s="134"/>
      <c r="G313" s="135"/>
      <c r="H313" s="41">
        <v>24400000</v>
      </c>
      <c r="I313" s="41" t="s">
        <v>599</v>
      </c>
    </row>
    <row r="314" spans="1:12" ht="15" customHeight="1" x14ac:dyDescent="0.25">
      <c r="A314" s="106" t="s">
        <v>298</v>
      </c>
      <c r="B314" s="119"/>
      <c r="C314" s="78"/>
      <c r="D314" s="124"/>
      <c r="E314" s="78"/>
      <c r="F314" s="124"/>
      <c r="G314" s="107"/>
      <c r="H314" s="46">
        <f>+H312-H313</f>
        <v>-24400000</v>
      </c>
      <c r="I314" s="41" t="s">
        <v>598</v>
      </c>
    </row>
    <row r="315" spans="1:12" ht="15" customHeight="1" x14ac:dyDescent="0.25">
      <c r="A315" s="321" t="s">
        <v>80</v>
      </c>
      <c r="B315" s="91" t="s">
        <v>81</v>
      </c>
      <c r="C315" s="79">
        <v>1236950</v>
      </c>
      <c r="D315" s="125"/>
      <c r="E315" s="79">
        <f t="shared" ref="E315" si="46">F315-D315</f>
        <v>1256200</v>
      </c>
      <c r="F315" s="125">
        <v>1256200</v>
      </c>
      <c r="G315" s="109"/>
      <c r="H315" s="281"/>
      <c r="J315" s="46">
        <f>SUM(D315:E315)</f>
        <v>1256200</v>
      </c>
    </row>
    <row r="316" spans="1:12" ht="15" customHeight="1" x14ac:dyDescent="0.25">
      <c r="A316" s="321" t="s">
        <v>51</v>
      </c>
      <c r="B316" s="91" t="s">
        <v>52</v>
      </c>
      <c r="C316" s="125">
        <v>701860</v>
      </c>
      <c r="D316" s="125"/>
      <c r="E316" s="79"/>
      <c r="F316" s="125">
        <v>3450000</v>
      </c>
      <c r="G316" s="109"/>
      <c r="J316" s="46">
        <f>SUM(D316:E316)</f>
        <v>0</v>
      </c>
    </row>
    <row r="317" spans="1:12" ht="15" customHeight="1" x14ac:dyDescent="0.25">
      <c r="A317" s="321" t="s">
        <v>139</v>
      </c>
      <c r="B317" s="91" t="s">
        <v>138</v>
      </c>
      <c r="C317" s="79"/>
      <c r="D317" s="125"/>
      <c r="E317" s="79">
        <f t="shared" ref="E317:E318" si="47">F317-D317</f>
        <v>0</v>
      </c>
      <c r="F317" s="125"/>
      <c r="G317" s="109"/>
      <c r="J317" s="46">
        <f>SUM(D317:E317)</f>
        <v>0</v>
      </c>
    </row>
    <row r="318" spans="1:12" ht="30" customHeight="1" x14ac:dyDescent="0.25">
      <c r="A318" s="321" t="s">
        <v>42</v>
      </c>
      <c r="B318" s="97" t="s">
        <v>176</v>
      </c>
      <c r="C318" s="139"/>
      <c r="D318" s="140"/>
      <c r="E318" s="139">
        <f t="shared" si="47"/>
        <v>0</v>
      </c>
      <c r="F318" s="140"/>
      <c r="G318" s="141"/>
      <c r="J318" s="46">
        <f>SUM(D318:E318)</f>
        <v>0</v>
      </c>
    </row>
    <row r="319" spans="1:12" ht="30" customHeight="1" x14ac:dyDescent="0.25">
      <c r="A319" s="147" t="s">
        <v>356</v>
      </c>
      <c r="B319" s="148"/>
      <c r="C319" s="101">
        <f>SUM(C315:C318)</f>
        <v>1938810</v>
      </c>
      <c r="D319" s="101">
        <f>SUM(D315:D318)</f>
        <v>0</v>
      </c>
      <c r="E319" s="101">
        <f>SUM(E315:E318)</f>
        <v>1256200</v>
      </c>
      <c r="F319" s="101">
        <f>SUM(F315:F318)</f>
        <v>4706200</v>
      </c>
      <c r="G319" s="101">
        <f>SUM(G315:G318)</f>
        <v>0</v>
      </c>
      <c r="J319" s="46"/>
    </row>
    <row r="320" spans="1:12" x14ac:dyDescent="0.25">
      <c r="A320" s="142" t="s">
        <v>88</v>
      </c>
      <c r="B320" s="143"/>
      <c r="C320" s="144"/>
      <c r="D320" s="145"/>
      <c r="E320" s="144"/>
      <c r="F320" s="145"/>
      <c r="G320" s="146"/>
      <c r="H320" s="281"/>
      <c r="L320" s="46"/>
    </row>
    <row r="321" spans="1:12" ht="15" customHeight="1" x14ac:dyDescent="0.25">
      <c r="A321" s="112" t="s">
        <v>750</v>
      </c>
      <c r="B321" s="91" t="s">
        <v>94</v>
      </c>
      <c r="C321" s="79"/>
      <c r="D321" s="125"/>
      <c r="E321" s="79"/>
      <c r="F321" s="125">
        <v>500000</v>
      </c>
      <c r="G321" s="109"/>
      <c r="H321" s="54" t="s">
        <v>779</v>
      </c>
      <c r="I321" s="54"/>
      <c r="J321" s="46">
        <f t="shared" ref="J321:J322" si="48">SUM(D321:E321)</f>
        <v>0</v>
      </c>
    </row>
    <row r="322" spans="1:12" ht="15" customHeight="1" x14ac:dyDescent="0.25">
      <c r="A322" s="112" t="s">
        <v>95</v>
      </c>
      <c r="B322" s="91" t="s">
        <v>96</v>
      </c>
      <c r="C322" s="79"/>
      <c r="D322" s="125"/>
      <c r="E322" s="79"/>
      <c r="F322" s="125">
        <v>750000</v>
      </c>
      <c r="G322" s="109"/>
      <c r="H322" s="54" t="s">
        <v>779</v>
      </c>
      <c r="I322" s="54"/>
      <c r="J322" s="46">
        <f t="shared" si="48"/>
        <v>0</v>
      </c>
    </row>
    <row r="323" spans="1:12" ht="30" customHeight="1" x14ac:dyDescent="0.25">
      <c r="A323" s="112" t="s">
        <v>97</v>
      </c>
      <c r="B323" s="91" t="s">
        <v>98</v>
      </c>
      <c r="C323" s="79"/>
      <c r="D323" s="125"/>
      <c r="E323" s="79"/>
      <c r="F323" s="125">
        <v>750000</v>
      </c>
      <c r="G323" s="109"/>
      <c r="H323" s="54" t="s">
        <v>779</v>
      </c>
      <c r="I323" s="54"/>
      <c r="J323" s="46"/>
    </row>
    <row r="324" spans="1:12" x14ac:dyDescent="0.25">
      <c r="A324" s="112" t="s">
        <v>102</v>
      </c>
      <c r="B324" s="91" t="s">
        <v>103</v>
      </c>
      <c r="C324" s="79"/>
      <c r="D324" s="125"/>
      <c r="E324" s="79"/>
      <c r="F324" s="125"/>
      <c r="G324" s="109"/>
      <c r="H324" s="54" t="s">
        <v>779</v>
      </c>
      <c r="I324" s="54"/>
      <c r="J324" s="46"/>
    </row>
    <row r="325" spans="1:12" x14ac:dyDescent="0.25">
      <c r="A325" s="112" t="s">
        <v>752</v>
      </c>
      <c r="B325" s="91" t="s">
        <v>751</v>
      </c>
      <c r="C325" s="79"/>
      <c r="D325" s="125"/>
      <c r="E325" s="79"/>
      <c r="F325" s="125">
        <v>500000</v>
      </c>
      <c r="G325" s="109"/>
      <c r="H325" s="54" t="s">
        <v>779</v>
      </c>
      <c r="I325" s="54"/>
      <c r="J325" s="46"/>
    </row>
    <row r="326" spans="1:12" ht="15" customHeight="1" x14ac:dyDescent="0.25">
      <c r="A326" s="321" t="s">
        <v>608</v>
      </c>
      <c r="B326" s="91" t="s">
        <v>106</v>
      </c>
      <c r="C326" s="203"/>
      <c r="D326" s="125"/>
      <c r="E326" s="203"/>
      <c r="F326" s="125">
        <v>500000</v>
      </c>
      <c r="G326" s="204"/>
      <c r="H326" s="41" t="s">
        <v>779</v>
      </c>
      <c r="J326" s="46"/>
    </row>
    <row r="327" spans="1:12" ht="15" customHeight="1" x14ac:dyDescent="0.25">
      <c r="A327" s="147" t="s">
        <v>112</v>
      </c>
      <c r="B327" s="148"/>
      <c r="C327" s="101">
        <f>SUM(C320:C326)</f>
        <v>0</v>
      </c>
      <c r="D327" s="101">
        <f t="shared" ref="D327:G327" si="49">SUM(D320:D326)</f>
        <v>0</v>
      </c>
      <c r="E327" s="101">
        <f t="shared" si="49"/>
        <v>0</v>
      </c>
      <c r="F327" s="101">
        <f t="shared" si="49"/>
        <v>3000000</v>
      </c>
      <c r="G327" s="101">
        <f t="shared" si="49"/>
        <v>0</v>
      </c>
      <c r="J327" s="46"/>
    </row>
    <row r="328" spans="1:12" x14ac:dyDescent="0.25">
      <c r="A328" s="151" t="s">
        <v>113</v>
      </c>
      <c r="B328" s="152"/>
      <c r="C328" s="153">
        <f>C319+C327</f>
        <v>1938810</v>
      </c>
      <c r="D328" s="153">
        <f t="shared" ref="D328:G328" si="50">D319+D327</f>
        <v>0</v>
      </c>
      <c r="E328" s="153">
        <f t="shared" si="50"/>
        <v>1256200</v>
      </c>
      <c r="F328" s="153">
        <f t="shared" si="50"/>
        <v>7706200</v>
      </c>
      <c r="G328" s="153">
        <f t="shared" si="50"/>
        <v>0</v>
      </c>
      <c r="H328" s="46">
        <v>3000000</v>
      </c>
      <c r="J328" s="46"/>
    </row>
    <row r="329" spans="1:12" ht="30" customHeight="1" x14ac:dyDescent="0.25">
      <c r="A329" s="315" t="s">
        <v>352</v>
      </c>
      <c r="B329" s="150"/>
      <c r="C329" s="133">
        <v>2425090</v>
      </c>
      <c r="D329" s="134"/>
      <c r="E329" s="133">
        <f t="shared" ref="E329" si="51">F329-D329</f>
        <v>10000000</v>
      </c>
      <c r="F329" s="134">
        <v>10000000</v>
      </c>
      <c r="G329" s="734"/>
      <c r="H329" s="41" t="s">
        <v>627</v>
      </c>
    </row>
    <row r="330" spans="1:12" ht="30" customHeight="1" x14ac:dyDescent="0.25">
      <c r="A330" s="147" t="s">
        <v>356</v>
      </c>
      <c r="B330" s="148"/>
      <c r="C330" s="101">
        <f>SUM(C329)</f>
        <v>2425090</v>
      </c>
      <c r="D330" s="101">
        <f t="shared" ref="D330:G330" si="52">SUM(D329)</f>
        <v>0</v>
      </c>
      <c r="E330" s="101">
        <f t="shared" si="52"/>
        <v>10000000</v>
      </c>
      <c r="F330" s="101">
        <f t="shared" si="52"/>
        <v>10000000</v>
      </c>
      <c r="G330" s="101">
        <f t="shared" si="52"/>
        <v>0</v>
      </c>
      <c r="J330" s="46"/>
    </row>
    <row r="331" spans="1:12" x14ac:dyDescent="0.25">
      <c r="A331" s="142" t="s">
        <v>88</v>
      </c>
      <c r="B331" s="143"/>
      <c r="C331" s="144"/>
      <c r="D331" s="145"/>
      <c r="E331" s="144"/>
      <c r="F331" s="145"/>
      <c r="G331" s="146"/>
      <c r="H331" s="281" t="e">
        <f>#REF!+H319</f>
        <v>#REF!</v>
      </c>
      <c r="L331" s="46"/>
    </row>
    <row r="332" spans="1:12" ht="15" customHeight="1" x14ac:dyDescent="0.25">
      <c r="A332" s="112" t="s">
        <v>750</v>
      </c>
      <c r="B332" s="91" t="s">
        <v>94</v>
      </c>
      <c r="C332" s="79"/>
      <c r="D332" s="125"/>
      <c r="E332" s="79"/>
      <c r="F332" s="125">
        <v>500000</v>
      </c>
      <c r="G332" s="109"/>
      <c r="H332" s="54" t="s">
        <v>779</v>
      </c>
      <c r="I332" s="54"/>
      <c r="J332" s="46">
        <f t="shared" ref="J332:J333" si="53">SUM(D332:E332)</f>
        <v>0</v>
      </c>
    </row>
    <row r="333" spans="1:12" ht="15" customHeight="1" x14ac:dyDescent="0.25">
      <c r="A333" s="112" t="s">
        <v>95</v>
      </c>
      <c r="B333" s="91" t="s">
        <v>96</v>
      </c>
      <c r="C333" s="79"/>
      <c r="D333" s="125"/>
      <c r="E333" s="79"/>
      <c r="F333" s="125">
        <v>500000</v>
      </c>
      <c r="G333" s="109"/>
      <c r="H333" s="54" t="s">
        <v>779</v>
      </c>
      <c r="I333" s="54"/>
      <c r="J333" s="46">
        <f t="shared" si="53"/>
        <v>0</v>
      </c>
    </row>
    <row r="334" spans="1:12" ht="30" customHeight="1" x14ac:dyDescent="0.25">
      <c r="A334" s="112" t="s">
        <v>97</v>
      </c>
      <c r="B334" s="91" t="s">
        <v>98</v>
      </c>
      <c r="C334" s="79"/>
      <c r="D334" s="125"/>
      <c r="E334" s="79"/>
      <c r="F334" s="125">
        <v>750000</v>
      </c>
      <c r="G334" s="109"/>
      <c r="H334" s="54" t="s">
        <v>779</v>
      </c>
      <c r="I334" s="54"/>
      <c r="J334" s="46"/>
    </row>
    <row r="335" spans="1:12" x14ac:dyDescent="0.25">
      <c r="A335" s="112" t="s">
        <v>752</v>
      </c>
      <c r="B335" s="91" t="s">
        <v>751</v>
      </c>
      <c r="C335" s="79"/>
      <c r="D335" s="125"/>
      <c r="E335" s="79"/>
      <c r="F335" s="125">
        <v>500000</v>
      </c>
      <c r="G335" s="109"/>
      <c r="H335" s="54" t="s">
        <v>779</v>
      </c>
      <c r="I335" s="54"/>
      <c r="J335" s="46"/>
    </row>
    <row r="336" spans="1:12" ht="15" customHeight="1" x14ac:dyDescent="0.25">
      <c r="A336" s="321" t="s">
        <v>608</v>
      </c>
      <c r="B336" s="91" t="s">
        <v>106</v>
      </c>
      <c r="C336" s="203"/>
      <c r="D336" s="125"/>
      <c r="E336" s="203"/>
      <c r="F336" s="125">
        <v>750000</v>
      </c>
      <c r="G336" s="204"/>
      <c r="H336" s="41" t="s">
        <v>779</v>
      </c>
      <c r="J336" s="46"/>
    </row>
    <row r="337" spans="1:12" ht="15" customHeight="1" x14ac:dyDescent="0.25">
      <c r="A337" s="147" t="s">
        <v>112</v>
      </c>
      <c r="B337" s="148"/>
      <c r="C337" s="101">
        <f>SUM(C331:C336)</f>
        <v>0</v>
      </c>
      <c r="D337" s="101">
        <f>SUM(D331:D336)</f>
        <v>0</v>
      </c>
      <c r="E337" s="101">
        <f>SUM(E331:E336)</f>
        <v>0</v>
      </c>
      <c r="F337" s="101">
        <f>SUM(F331:F336)</f>
        <v>3000000</v>
      </c>
      <c r="G337" s="101">
        <f>SUM(G331:G336)</f>
        <v>0</v>
      </c>
      <c r="J337" s="46"/>
    </row>
    <row r="338" spans="1:12" ht="15" customHeight="1" x14ac:dyDescent="0.25">
      <c r="A338" s="151" t="s">
        <v>113</v>
      </c>
      <c r="B338" s="152"/>
      <c r="C338" s="153">
        <f>C330+C337</f>
        <v>2425090</v>
      </c>
      <c r="D338" s="153">
        <f>D330+D337</f>
        <v>0</v>
      </c>
      <c r="E338" s="153">
        <f>E330+E337</f>
        <v>10000000</v>
      </c>
      <c r="F338" s="153">
        <f>F330+F337</f>
        <v>13000000</v>
      </c>
      <c r="G338" s="153">
        <f>G330+G337</f>
        <v>0</v>
      </c>
      <c r="H338" s="46">
        <v>5000000</v>
      </c>
      <c r="I338" s="41" t="s">
        <v>600</v>
      </c>
      <c r="J338" s="46"/>
    </row>
    <row r="339" spans="1:12" ht="15" customHeight="1" x14ac:dyDescent="0.25">
      <c r="A339" s="315" t="s">
        <v>353</v>
      </c>
      <c r="B339" s="150"/>
      <c r="C339" s="753">
        <v>9927910.2899999991</v>
      </c>
      <c r="D339" s="134"/>
      <c r="E339" s="133">
        <f t="shared" ref="E339" si="54">F339-D339</f>
        <v>15000000</v>
      </c>
      <c r="F339" s="134">
        <v>15000000</v>
      </c>
      <c r="G339" s="723"/>
      <c r="H339" s="724">
        <v>5000000</v>
      </c>
      <c r="I339" s="41" t="s">
        <v>587</v>
      </c>
    </row>
    <row r="340" spans="1:12" ht="30" customHeight="1" x14ac:dyDescent="0.25">
      <c r="A340" s="147" t="s">
        <v>356</v>
      </c>
      <c r="B340" s="148"/>
      <c r="C340" s="101">
        <f>SUM(C339)</f>
        <v>9927910.2899999991</v>
      </c>
      <c r="D340" s="101">
        <f t="shared" ref="D340" si="55">SUM(D339)</f>
        <v>0</v>
      </c>
      <c r="E340" s="101">
        <f>SUM(E339)</f>
        <v>15000000</v>
      </c>
      <c r="F340" s="101">
        <f t="shared" ref="F340:G340" si="56">SUM(F339)</f>
        <v>15000000</v>
      </c>
      <c r="G340" s="101">
        <f t="shared" si="56"/>
        <v>0</v>
      </c>
      <c r="J340" s="46"/>
    </row>
    <row r="341" spans="1:12" x14ac:dyDescent="0.25">
      <c r="A341" s="142" t="s">
        <v>88</v>
      </c>
      <c r="B341" s="143"/>
      <c r="C341" s="144"/>
      <c r="D341" s="145"/>
      <c r="E341" s="144"/>
      <c r="F341" s="145"/>
      <c r="G341" s="146"/>
      <c r="H341" s="281" t="e">
        <f>#REF!+H329</f>
        <v>#REF!</v>
      </c>
      <c r="L341" s="46"/>
    </row>
    <row r="342" spans="1:12" ht="15" customHeight="1" x14ac:dyDescent="0.25">
      <c r="A342" s="112" t="s">
        <v>750</v>
      </c>
      <c r="B342" s="91" t="s">
        <v>94</v>
      </c>
      <c r="C342" s="79"/>
      <c r="D342" s="125"/>
      <c r="E342" s="79"/>
      <c r="F342" s="125">
        <v>500000</v>
      </c>
      <c r="G342" s="109"/>
      <c r="H342" s="54" t="s">
        <v>779</v>
      </c>
      <c r="I342" s="54"/>
      <c r="J342" s="46">
        <f t="shared" ref="J342:J343" si="57">SUM(D342:E342)</f>
        <v>0</v>
      </c>
    </row>
    <row r="343" spans="1:12" ht="15" customHeight="1" x14ac:dyDescent="0.25">
      <c r="A343" s="112" t="s">
        <v>95</v>
      </c>
      <c r="B343" s="91" t="s">
        <v>96</v>
      </c>
      <c r="C343" s="79"/>
      <c r="D343" s="125"/>
      <c r="E343" s="79"/>
      <c r="F343" s="125">
        <v>750000</v>
      </c>
      <c r="G343" s="109"/>
      <c r="H343" s="54" t="s">
        <v>779</v>
      </c>
      <c r="I343" s="54"/>
      <c r="J343" s="46">
        <f t="shared" si="57"/>
        <v>0</v>
      </c>
    </row>
    <row r="344" spans="1:12" ht="30" customHeight="1" x14ac:dyDescent="0.25">
      <c r="A344" s="112" t="s">
        <v>97</v>
      </c>
      <c r="B344" s="91" t="s">
        <v>98</v>
      </c>
      <c r="C344" s="79"/>
      <c r="D344" s="125"/>
      <c r="E344" s="79"/>
      <c r="F344" s="125">
        <v>750000</v>
      </c>
      <c r="G344" s="109"/>
      <c r="H344" s="54" t="s">
        <v>779</v>
      </c>
      <c r="I344" s="54"/>
      <c r="J344" s="46"/>
    </row>
    <row r="345" spans="1:12" ht="15" customHeight="1" x14ac:dyDescent="0.25">
      <c r="A345" s="321" t="s">
        <v>608</v>
      </c>
      <c r="B345" s="91" t="s">
        <v>106</v>
      </c>
      <c r="C345" s="203"/>
      <c r="D345" s="125"/>
      <c r="E345" s="203"/>
      <c r="F345" s="125">
        <v>1000000</v>
      </c>
      <c r="G345" s="204"/>
      <c r="H345" s="41" t="s">
        <v>779</v>
      </c>
      <c r="J345" s="46"/>
    </row>
    <row r="346" spans="1:12" ht="15" customHeight="1" x14ac:dyDescent="0.25">
      <c r="A346" s="147" t="s">
        <v>112</v>
      </c>
      <c r="B346" s="148"/>
      <c r="C346" s="101">
        <f>SUM(C341:C345)</f>
        <v>0</v>
      </c>
      <c r="D346" s="101">
        <f t="shared" ref="D346:G346" si="58">SUM(D341:D345)</f>
        <v>0</v>
      </c>
      <c r="E346" s="101">
        <f t="shared" si="58"/>
        <v>0</v>
      </c>
      <c r="F346" s="101">
        <f t="shared" si="58"/>
        <v>3000000</v>
      </c>
      <c r="G346" s="101">
        <f t="shared" si="58"/>
        <v>0</v>
      </c>
      <c r="J346" s="46"/>
    </row>
    <row r="347" spans="1:12" x14ac:dyDescent="0.25">
      <c r="A347" s="151" t="s">
        <v>113</v>
      </c>
      <c r="B347" s="152"/>
      <c r="C347" s="305">
        <f>C340+C346</f>
        <v>9927910.2899999991</v>
      </c>
      <c r="D347" s="305">
        <f>D340+D346</f>
        <v>0</v>
      </c>
      <c r="E347" s="305">
        <f>E340+E346</f>
        <v>15000000</v>
      </c>
      <c r="F347" s="305">
        <f>F340+F346</f>
        <v>18000000</v>
      </c>
      <c r="G347" s="305">
        <f>G340+G346</f>
        <v>0</v>
      </c>
      <c r="J347" s="46"/>
    </row>
    <row r="348" spans="1:12" x14ac:dyDescent="0.25">
      <c r="A348" s="315" t="s">
        <v>730</v>
      </c>
      <c r="B348" s="150"/>
      <c r="C348" s="133"/>
      <c r="D348" s="134"/>
      <c r="E348" s="133"/>
      <c r="F348" s="134"/>
      <c r="G348" s="135"/>
      <c r="H348" s="41">
        <v>24400000</v>
      </c>
      <c r="I348" s="41" t="s">
        <v>599</v>
      </c>
    </row>
    <row r="349" spans="1:12" ht="15" customHeight="1" x14ac:dyDescent="0.25">
      <c r="A349" s="106" t="s">
        <v>298</v>
      </c>
      <c r="B349" s="119"/>
      <c r="C349" s="78"/>
      <c r="D349" s="124"/>
      <c r="E349" s="78"/>
      <c r="F349" s="124"/>
      <c r="G349" s="107"/>
      <c r="H349" s="46">
        <f>+H347-H348</f>
        <v>-24400000</v>
      </c>
      <c r="I349" s="41" t="s">
        <v>598</v>
      </c>
    </row>
    <row r="350" spans="1:12" ht="30" customHeight="1" x14ac:dyDescent="0.25">
      <c r="A350" s="321" t="s">
        <v>42</v>
      </c>
      <c r="B350" s="97" t="s">
        <v>176</v>
      </c>
      <c r="C350" s="139">
        <v>4815000</v>
      </c>
      <c r="D350" s="140"/>
      <c r="E350" s="139"/>
      <c r="F350" s="140">
        <v>20000000</v>
      </c>
      <c r="G350" s="141"/>
      <c r="J350" s="46">
        <f>SUM(D350:E350)</f>
        <v>0</v>
      </c>
    </row>
    <row r="351" spans="1:12" ht="30" customHeight="1" x14ac:dyDescent="0.25">
      <c r="A351" s="147" t="s">
        <v>356</v>
      </c>
      <c r="B351" s="148"/>
      <c r="C351" s="101">
        <f>SUM(C348:C350)</f>
        <v>4815000</v>
      </c>
      <c r="D351" s="101">
        <f>SUM(D348:D350)</f>
        <v>0</v>
      </c>
      <c r="E351" s="101">
        <f>SUM(E348:E350)</f>
        <v>0</v>
      </c>
      <c r="F351" s="101">
        <f>SUM(F348:F350)</f>
        <v>20000000</v>
      </c>
      <c r="G351" s="101">
        <f>SUM(G348:G350)</f>
        <v>0</v>
      </c>
      <c r="J351" s="46"/>
    </row>
    <row r="352" spans="1:12" x14ac:dyDescent="0.25">
      <c r="A352" s="142" t="s">
        <v>88</v>
      </c>
      <c r="B352" s="143"/>
      <c r="C352" s="144"/>
      <c r="D352" s="145"/>
      <c r="E352" s="144"/>
      <c r="F352" s="145"/>
      <c r="G352" s="146"/>
      <c r="H352" s="281" t="e">
        <f>#REF!+H338</f>
        <v>#REF!</v>
      </c>
      <c r="L352" s="46"/>
    </row>
    <row r="353" spans="1:10" ht="15" customHeight="1" x14ac:dyDescent="0.25">
      <c r="A353" s="112" t="s">
        <v>750</v>
      </c>
      <c r="B353" s="91" t="s">
        <v>94</v>
      </c>
      <c r="C353" s="79"/>
      <c r="D353" s="125"/>
      <c r="E353" s="79"/>
      <c r="F353" s="125">
        <v>500000</v>
      </c>
      <c r="G353" s="109"/>
      <c r="H353" s="54" t="s">
        <v>779</v>
      </c>
      <c r="I353" s="54"/>
      <c r="J353" s="46">
        <f t="shared" ref="J353:J354" si="59">SUM(D353:E353)</f>
        <v>0</v>
      </c>
    </row>
    <row r="354" spans="1:10" ht="15" customHeight="1" x14ac:dyDescent="0.25">
      <c r="A354" s="112" t="s">
        <v>95</v>
      </c>
      <c r="B354" s="91" t="s">
        <v>96</v>
      </c>
      <c r="C354" s="79"/>
      <c r="D354" s="125"/>
      <c r="E354" s="79"/>
      <c r="F354" s="125">
        <v>500000</v>
      </c>
      <c r="G354" s="109"/>
      <c r="H354" s="54" t="s">
        <v>779</v>
      </c>
      <c r="I354" s="54"/>
      <c r="J354" s="46">
        <f t="shared" si="59"/>
        <v>0</v>
      </c>
    </row>
    <row r="355" spans="1:10" ht="30" customHeight="1" x14ac:dyDescent="0.25">
      <c r="A355" s="112" t="s">
        <v>97</v>
      </c>
      <c r="B355" s="91" t="s">
        <v>98</v>
      </c>
      <c r="C355" s="79"/>
      <c r="D355" s="125"/>
      <c r="E355" s="79"/>
      <c r="F355" s="125">
        <v>500000</v>
      </c>
      <c r="G355" s="109"/>
      <c r="H355" s="54" t="s">
        <v>779</v>
      </c>
      <c r="I355" s="54"/>
      <c r="J355" s="46"/>
    </row>
    <row r="356" spans="1:10" x14ac:dyDescent="0.25">
      <c r="A356" s="112" t="s">
        <v>102</v>
      </c>
      <c r="B356" s="91" t="s">
        <v>103</v>
      </c>
      <c r="C356" s="79"/>
      <c r="D356" s="125"/>
      <c r="E356" s="79"/>
      <c r="F356" s="125">
        <v>1000000</v>
      </c>
      <c r="G356" s="109"/>
      <c r="H356" s="54" t="s">
        <v>779</v>
      </c>
      <c r="I356" s="54"/>
      <c r="J356" s="46"/>
    </row>
    <row r="357" spans="1:10" x14ac:dyDescent="0.25">
      <c r="A357" s="112" t="s">
        <v>752</v>
      </c>
      <c r="B357" s="91" t="s">
        <v>751</v>
      </c>
      <c r="C357" s="79"/>
      <c r="D357" s="125"/>
      <c r="E357" s="79"/>
      <c r="F357" s="125">
        <v>500000</v>
      </c>
      <c r="G357" s="109"/>
      <c r="H357" s="54" t="s">
        <v>779</v>
      </c>
      <c r="I357" s="54"/>
      <c r="J357" s="46"/>
    </row>
    <row r="358" spans="1:10" ht="15" customHeight="1" x14ac:dyDescent="0.25">
      <c r="A358" s="147" t="s">
        <v>112</v>
      </c>
      <c r="B358" s="148"/>
      <c r="C358" s="101">
        <f>SUM(C352:C357)</f>
        <v>0</v>
      </c>
      <c r="D358" s="101">
        <f t="shared" ref="D358:G358" si="60">SUM(D352:D357)</f>
        <v>0</v>
      </c>
      <c r="E358" s="101">
        <f t="shared" si="60"/>
        <v>0</v>
      </c>
      <c r="F358" s="101">
        <f t="shared" si="60"/>
        <v>3000000</v>
      </c>
      <c r="G358" s="101">
        <f t="shared" si="60"/>
        <v>0</v>
      </c>
      <c r="J358" s="46"/>
    </row>
    <row r="359" spans="1:10" x14ac:dyDescent="0.25">
      <c r="A359" s="151" t="s">
        <v>113</v>
      </c>
      <c r="B359" s="152"/>
      <c r="C359" s="305">
        <f>C351+C358</f>
        <v>4815000</v>
      </c>
      <c r="D359" s="305">
        <f t="shared" ref="D359:G359" si="61">D351+D358</f>
        <v>0</v>
      </c>
      <c r="E359" s="305">
        <f t="shared" si="61"/>
        <v>0</v>
      </c>
      <c r="F359" s="305">
        <f t="shared" si="61"/>
        <v>23000000</v>
      </c>
      <c r="G359" s="305">
        <f t="shared" si="61"/>
        <v>0</v>
      </c>
      <c r="J359" s="46"/>
    </row>
    <row r="360" spans="1:10" s="318" customFormat="1" x14ac:dyDescent="0.25">
      <c r="A360" s="174" t="s">
        <v>780</v>
      </c>
      <c r="B360" s="174"/>
      <c r="C360" s="325">
        <f>C53+C83+C127+C159+C193+C210+C312+C328+C338+C347+C359</f>
        <v>234306475.78</v>
      </c>
      <c r="D360" s="325">
        <f>D53+D83+D127+D159+D193+D210+D312+D328+D338+D347+D359</f>
        <v>0</v>
      </c>
      <c r="E360" s="325">
        <f>E53+E83+E127+E159+E193+E210+E312+E328+E338+E347+E359</f>
        <v>283719880</v>
      </c>
      <c r="F360" s="325">
        <f>F53+F83+F127+F159+F193+F210+F312+F328+F338+F347+F359</f>
        <v>402624680</v>
      </c>
      <c r="G360" s="325">
        <f>G53+G83+G127+G159+G193+G210+G312+G328+G338+G347+G359</f>
        <v>121551000</v>
      </c>
      <c r="H360" s="316">
        <v>10000000</v>
      </c>
      <c r="I360" s="316">
        <f>+H360+G360</f>
        <v>131551000</v>
      </c>
      <c r="J360" s="317"/>
    </row>
    <row r="361" spans="1:10" x14ac:dyDescent="0.25">
      <c r="A361" s="131" t="s">
        <v>190</v>
      </c>
      <c r="B361" s="150"/>
      <c r="C361" s="133"/>
      <c r="D361" s="134"/>
      <c r="E361" s="133"/>
      <c r="F361" s="134"/>
      <c r="G361" s="135"/>
      <c r="H361" s="41" t="s">
        <v>601</v>
      </c>
    </row>
    <row r="362" spans="1:10" ht="30" customHeight="1" x14ac:dyDescent="0.25">
      <c r="A362" s="114" t="s">
        <v>210</v>
      </c>
      <c r="B362" s="122"/>
      <c r="C362" s="81"/>
      <c r="D362" s="127"/>
      <c r="E362" s="81"/>
      <c r="F362" s="127"/>
      <c r="G362" s="115"/>
      <c r="H362" s="41" t="s">
        <v>602</v>
      </c>
    </row>
    <row r="363" spans="1:10" ht="56.1" customHeight="1" x14ac:dyDescent="0.25">
      <c r="A363" s="112" t="s">
        <v>595</v>
      </c>
      <c r="B363" s="91"/>
      <c r="C363" s="79">
        <v>31400</v>
      </c>
      <c r="D363" s="125"/>
      <c r="E363" s="79">
        <f>F363-D363</f>
        <v>3000000</v>
      </c>
      <c r="F363" s="125">
        <v>3000000</v>
      </c>
      <c r="G363" s="125"/>
    </row>
    <row r="364" spans="1:10" x14ac:dyDescent="0.25">
      <c r="A364" s="160" t="s">
        <v>228</v>
      </c>
      <c r="B364" s="97"/>
      <c r="C364" s="139"/>
      <c r="D364" s="140"/>
      <c r="E364" s="139"/>
      <c r="F364" s="140"/>
      <c r="G364" s="141"/>
    </row>
    <row r="365" spans="1:10" x14ac:dyDescent="0.25">
      <c r="A365" s="179" t="s">
        <v>191</v>
      </c>
      <c r="B365" s="148"/>
      <c r="C365" s="101">
        <f>SUM(C362:C364)</f>
        <v>31400</v>
      </c>
      <c r="D365" s="101">
        <f>SUM(D362:D364)</f>
        <v>0</v>
      </c>
      <c r="E365" s="101">
        <f>SUM(E362:E364)</f>
        <v>3000000</v>
      </c>
      <c r="F365" s="101">
        <f>SUM(F362:F364)</f>
        <v>3000000</v>
      </c>
      <c r="G365" s="101">
        <f>SUM(G362:G364)</f>
        <v>0</v>
      </c>
      <c r="H365" s="46">
        <f>G365</f>
        <v>0</v>
      </c>
    </row>
    <row r="366" spans="1:10" x14ac:dyDescent="0.25">
      <c r="A366" s="131" t="s">
        <v>192</v>
      </c>
      <c r="B366" s="150"/>
      <c r="C366" s="133"/>
      <c r="D366" s="134"/>
      <c r="E366" s="133"/>
      <c r="F366" s="134"/>
      <c r="G366" s="135"/>
    </row>
    <row r="367" spans="1:10" x14ac:dyDescent="0.25">
      <c r="A367" s="114" t="s">
        <v>400</v>
      </c>
      <c r="B367" s="122"/>
      <c r="C367" s="81"/>
      <c r="D367" s="127"/>
      <c r="E367" s="81"/>
      <c r="F367" s="127"/>
      <c r="G367" s="115"/>
    </row>
    <row r="368" spans="1:10" ht="27.75" customHeight="1" x14ac:dyDescent="0.25">
      <c r="A368" s="112" t="s">
        <v>383</v>
      </c>
      <c r="B368" s="91"/>
      <c r="C368" s="79"/>
      <c r="D368" s="125"/>
      <c r="E368" s="79"/>
      <c r="F368" s="125">
        <v>300000</v>
      </c>
      <c r="G368" s="109"/>
      <c r="H368" s="41" t="s">
        <v>594</v>
      </c>
      <c r="I368" s="41" t="s">
        <v>596</v>
      </c>
    </row>
    <row r="369" spans="1:8" ht="15" customHeight="1" x14ac:dyDescent="0.25">
      <c r="A369" s="112" t="s">
        <v>448</v>
      </c>
      <c r="B369" s="91"/>
      <c r="C369" s="79">
        <v>182901</v>
      </c>
      <c r="D369" s="125"/>
      <c r="E369" s="79">
        <f t="shared" ref="E369:E389" si="62">F369-D369</f>
        <v>500000</v>
      </c>
      <c r="F369" s="125">
        <v>500000</v>
      </c>
      <c r="G369" s="109"/>
    </row>
    <row r="370" spans="1:8" ht="15" customHeight="1" x14ac:dyDescent="0.25">
      <c r="A370" s="112" t="s">
        <v>193</v>
      </c>
      <c r="B370" s="91"/>
      <c r="C370" s="79">
        <v>100000</v>
      </c>
      <c r="D370" s="125"/>
      <c r="E370" s="79">
        <f t="shared" si="62"/>
        <v>100000</v>
      </c>
      <c r="F370" s="125">
        <v>100000</v>
      </c>
      <c r="G370" s="109"/>
    </row>
    <row r="371" spans="1:8" ht="15" customHeight="1" x14ac:dyDescent="0.25">
      <c r="A371" s="112" t="s">
        <v>194</v>
      </c>
      <c r="B371" s="91"/>
      <c r="C371" s="79">
        <v>300000</v>
      </c>
      <c r="D371" s="125"/>
      <c r="E371" s="79">
        <f t="shared" si="62"/>
        <v>300000</v>
      </c>
      <c r="F371" s="125">
        <v>300000</v>
      </c>
      <c r="G371" s="109"/>
    </row>
    <row r="372" spans="1:8" ht="56.1" customHeight="1" x14ac:dyDescent="0.25">
      <c r="A372" s="735" t="s">
        <v>783</v>
      </c>
      <c r="B372" s="91"/>
      <c r="C372" s="79">
        <v>641188.5</v>
      </c>
      <c r="D372" s="125"/>
      <c r="E372" s="79">
        <f t="shared" si="62"/>
        <v>0</v>
      </c>
      <c r="F372" s="125"/>
      <c r="G372" s="109"/>
      <c r="H372" s="41">
        <v>10686500</v>
      </c>
    </row>
    <row r="373" spans="1:8" ht="15" customHeight="1" x14ac:dyDescent="0.25">
      <c r="A373" s="111" t="s">
        <v>757</v>
      </c>
      <c r="B373" s="91" t="s">
        <v>125</v>
      </c>
      <c r="C373" s="79"/>
      <c r="D373" s="125"/>
      <c r="E373" s="79"/>
      <c r="F373" s="125"/>
      <c r="G373" s="125"/>
    </row>
    <row r="374" spans="1:8" ht="15" customHeight="1" x14ac:dyDescent="0.25">
      <c r="A374" s="111" t="s">
        <v>758</v>
      </c>
      <c r="B374" s="91"/>
      <c r="C374" s="79"/>
      <c r="D374" s="125"/>
      <c r="E374" s="79"/>
      <c r="F374" s="125">
        <v>1500000</v>
      </c>
      <c r="G374" s="125"/>
    </row>
    <row r="375" spans="1:8" ht="45" customHeight="1" x14ac:dyDescent="0.25">
      <c r="A375" s="111" t="s">
        <v>759</v>
      </c>
      <c r="B375" s="91"/>
      <c r="C375" s="79"/>
      <c r="D375" s="125"/>
      <c r="E375" s="79"/>
      <c r="F375" s="125">
        <v>200000</v>
      </c>
      <c r="G375" s="125"/>
    </row>
    <row r="376" spans="1:8" ht="30" customHeight="1" x14ac:dyDescent="0.25">
      <c r="A376" s="111" t="s">
        <v>782</v>
      </c>
      <c r="B376" s="91"/>
      <c r="C376" s="79"/>
      <c r="D376" s="125"/>
      <c r="E376" s="79"/>
      <c r="F376" s="125">
        <v>200000</v>
      </c>
      <c r="G376" s="125"/>
    </row>
    <row r="377" spans="1:8" ht="15" customHeight="1" x14ac:dyDescent="0.25">
      <c r="A377" s="111" t="s">
        <v>760</v>
      </c>
      <c r="B377" s="91" t="s">
        <v>64</v>
      </c>
      <c r="C377" s="79"/>
      <c r="D377" s="125"/>
      <c r="E377" s="79"/>
      <c r="F377" s="125">
        <v>50000</v>
      </c>
      <c r="G377" s="125"/>
    </row>
    <row r="378" spans="1:8" ht="30" customHeight="1" x14ac:dyDescent="0.25">
      <c r="A378" s="111" t="s">
        <v>761</v>
      </c>
      <c r="B378" s="91" t="s">
        <v>176</v>
      </c>
      <c r="C378" s="79"/>
      <c r="D378" s="125"/>
      <c r="E378" s="79"/>
      <c r="F378" s="125">
        <v>53500</v>
      </c>
      <c r="G378" s="125"/>
    </row>
    <row r="379" spans="1:8" ht="15" customHeight="1" x14ac:dyDescent="0.25">
      <c r="A379" s="111" t="s">
        <v>762</v>
      </c>
      <c r="B379" s="91" t="s">
        <v>81</v>
      </c>
      <c r="C379" s="79"/>
      <c r="D379" s="125"/>
      <c r="E379" s="79"/>
      <c r="F379" s="125">
        <v>637200</v>
      </c>
      <c r="G379" s="125"/>
      <c r="H379" s="46"/>
    </row>
    <row r="380" spans="1:8" ht="15" customHeight="1" x14ac:dyDescent="0.25">
      <c r="A380" s="112" t="s">
        <v>345</v>
      </c>
      <c r="B380" s="91"/>
      <c r="C380" s="79"/>
      <c r="D380" s="125"/>
      <c r="E380" s="79">
        <f t="shared" si="62"/>
        <v>700000</v>
      </c>
      <c r="F380" s="125">
        <v>700000</v>
      </c>
      <c r="G380" s="125"/>
    </row>
    <row r="381" spans="1:8" ht="15" customHeight="1" x14ac:dyDescent="0.25">
      <c r="A381" s="112" t="s">
        <v>197</v>
      </c>
      <c r="B381" s="91"/>
      <c r="C381" s="79"/>
      <c r="D381" s="125"/>
      <c r="E381" s="79">
        <f t="shared" si="62"/>
        <v>500000</v>
      </c>
      <c r="F381" s="125">
        <v>500000</v>
      </c>
      <c r="G381" s="109"/>
    </row>
    <row r="382" spans="1:8" ht="15" customHeight="1" x14ac:dyDescent="0.25">
      <c r="A382" s="112" t="s">
        <v>198</v>
      </c>
      <c r="B382" s="91"/>
      <c r="C382" s="79"/>
      <c r="D382" s="125"/>
      <c r="E382" s="79">
        <f t="shared" si="62"/>
        <v>10000</v>
      </c>
      <c r="F382" s="125">
        <v>10000</v>
      </c>
      <c r="G382" s="125"/>
    </row>
    <row r="383" spans="1:8" ht="15" customHeight="1" x14ac:dyDescent="0.25">
      <c r="A383" s="112" t="s">
        <v>199</v>
      </c>
      <c r="B383" s="91"/>
      <c r="C383" s="79"/>
      <c r="D383" s="125"/>
      <c r="E383" s="79">
        <f t="shared" si="62"/>
        <v>30000</v>
      </c>
      <c r="F383" s="125">
        <v>30000</v>
      </c>
      <c r="G383" s="125"/>
    </row>
    <row r="384" spans="1:8" ht="15" customHeight="1" x14ac:dyDescent="0.25">
      <c r="A384" s="112" t="s">
        <v>200</v>
      </c>
      <c r="B384" s="91"/>
      <c r="C384" s="79">
        <v>100000</v>
      </c>
      <c r="D384" s="125"/>
      <c r="E384" s="79">
        <f t="shared" si="62"/>
        <v>100000</v>
      </c>
      <c r="F384" s="125">
        <v>100000</v>
      </c>
      <c r="G384" s="125"/>
    </row>
    <row r="385" spans="1:8" ht="30" customHeight="1" x14ac:dyDescent="0.25">
      <c r="A385" s="112" t="s">
        <v>201</v>
      </c>
      <c r="B385" s="91"/>
      <c r="C385" s="79"/>
      <c r="D385" s="125"/>
      <c r="E385" s="79">
        <f t="shared" si="62"/>
        <v>10000</v>
      </c>
      <c r="F385" s="125">
        <v>10000</v>
      </c>
      <c r="G385" s="125"/>
    </row>
    <row r="386" spans="1:8" x14ac:dyDescent="0.25">
      <c r="A386" s="112" t="s">
        <v>202</v>
      </c>
      <c r="B386" s="91"/>
      <c r="C386" s="79"/>
      <c r="D386" s="125"/>
      <c r="E386" s="79">
        <f t="shared" si="62"/>
        <v>10000</v>
      </c>
      <c r="F386" s="125">
        <v>10000</v>
      </c>
      <c r="G386" s="125"/>
    </row>
    <row r="387" spans="1:8" x14ac:dyDescent="0.25">
      <c r="A387" s="112" t="s">
        <v>203</v>
      </c>
      <c r="B387" s="91"/>
      <c r="C387" s="79"/>
      <c r="D387" s="125"/>
      <c r="E387" s="79"/>
      <c r="F387" s="125"/>
      <c r="G387" s="125"/>
      <c r="H387" s="41" t="s">
        <v>592</v>
      </c>
    </row>
    <row r="388" spans="1:8" ht="30" customHeight="1" x14ac:dyDescent="0.25">
      <c r="A388" s="112" t="s">
        <v>401</v>
      </c>
      <c r="B388" s="91"/>
      <c r="C388" s="79">
        <v>546074</v>
      </c>
      <c r="D388" s="125"/>
      <c r="E388" s="79">
        <f t="shared" si="62"/>
        <v>700000</v>
      </c>
      <c r="F388" s="125">
        <v>700000</v>
      </c>
      <c r="G388" s="125"/>
    </row>
    <row r="389" spans="1:8" ht="15" customHeight="1" x14ac:dyDescent="0.25">
      <c r="A389" s="112" t="s">
        <v>205</v>
      </c>
      <c r="B389" s="91"/>
      <c r="C389" s="79"/>
      <c r="D389" s="125"/>
      <c r="E389" s="79">
        <f t="shared" si="62"/>
        <v>200000</v>
      </c>
      <c r="F389" s="125">
        <v>200000</v>
      </c>
      <c r="G389" s="109"/>
    </row>
    <row r="390" spans="1:8" x14ac:dyDescent="0.25">
      <c r="A390" s="179" t="s">
        <v>191</v>
      </c>
      <c r="B390" s="148"/>
      <c r="C390" s="101">
        <f>SUM(C367:C389)</f>
        <v>1870163.5</v>
      </c>
      <c r="D390" s="101">
        <f>SUM(D367:D389)</f>
        <v>0</v>
      </c>
      <c r="E390" s="101">
        <f>SUM(E367:E389)</f>
        <v>3160000</v>
      </c>
      <c r="F390" s="101">
        <f>SUM(F367:F389)</f>
        <v>6100700</v>
      </c>
      <c r="G390" s="101">
        <f>SUM(G367:G389)</f>
        <v>0</v>
      </c>
      <c r="H390" s="46">
        <f>G390</f>
        <v>0</v>
      </c>
    </row>
    <row r="391" spans="1:8" x14ac:dyDescent="0.25">
      <c r="A391" s="131" t="s">
        <v>208</v>
      </c>
      <c r="B391" s="150"/>
      <c r="C391" s="133"/>
      <c r="D391" s="134"/>
      <c r="E391" s="133"/>
      <c r="F391" s="134"/>
      <c r="G391" s="135"/>
    </row>
    <row r="392" spans="1:8" x14ac:dyDescent="0.25">
      <c r="A392" s="114" t="s">
        <v>74</v>
      </c>
      <c r="B392" s="122"/>
      <c r="C392" s="81"/>
      <c r="D392" s="127"/>
      <c r="E392" s="81"/>
      <c r="F392" s="127"/>
      <c r="G392" s="115"/>
    </row>
    <row r="393" spans="1:8" ht="42" customHeight="1" x14ac:dyDescent="0.25">
      <c r="A393" s="112" t="s">
        <v>209</v>
      </c>
      <c r="B393" s="91"/>
      <c r="C393" s="79">
        <v>1211200</v>
      </c>
      <c r="D393" s="125"/>
      <c r="E393" s="79">
        <f t="shared" ref="E393:E394" si="63">F393-D393</f>
        <v>2300000</v>
      </c>
      <c r="F393" s="125">
        <v>2300000</v>
      </c>
      <c r="G393" s="109"/>
    </row>
    <row r="394" spans="1:8" ht="144.94999999999999" customHeight="1" x14ac:dyDescent="0.25">
      <c r="A394" s="754" t="s">
        <v>803</v>
      </c>
      <c r="B394" s="333"/>
      <c r="C394" s="350">
        <v>24951838.82</v>
      </c>
      <c r="D394" s="351"/>
      <c r="E394" s="334">
        <f t="shared" si="63"/>
        <v>40000000</v>
      </c>
      <c r="F394" s="335">
        <v>40000000</v>
      </c>
      <c r="G394" s="336"/>
    </row>
    <row r="395" spans="1:8" x14ac:dyDescent="0.25">
      <c r="A395" s="330" t="s">
        <v>191</v>
      </c>
      <c r="B395" s="331"/>
      <c r="C395" s="332">
        <f>SUM(C391:C394)</f>
        <v>26163038.82</v>
      </c>
      <c r="D395" s="332">
        <f t="shared" ref="D395:F395" si="64">SUM(D391:D394)</f>
        <v>0</v>
      </c>
      <c r="E395" s="332">
        <f t="shared" si="64"/>
        <v>42300000</v>
      </c>
      <c r="F395" s="332">
        <f t="shared" si="64"/>
        <v>42300000</v>
      </c>
      <c r="G395" s="332">
        <f>SUM(G391:G394)</f>
        <v>0</v>
      </c>
      <c r="H395" s="46">
        <f>G395</f>
        <v>0</v>
      </c>
    </row>
    <row r="396" spans="1:8" x14ac:dyDescent="0.25">
      <c r="A396" s="131" t="s">
        <v>387</v>
      </c>
      <c r="B396" s="150"/>
      <c r="C396" s="133"/>
      <c r="D396" s="134"/>
      <c r="E396" s="133"/>
      <c r="F396" s="134"/>
      <c r="G396" s="135"/>
    </row>
    <row r="397" spans="1:8" x14ac:dyDescent="0.25">
      <c r="A397" s="114" t="s">
        <v>211</v>
      </c>
      <c r="B397" s="122"/>
      <c r="C397" s="81"/>
      <c r="D397" s="127"/>
      <c r="E397" s="81"/>
      <c r="F397" s="127"/>
      <c r="G397" s="115"/>
    </row>
    <row r="398" spans="1:8" ht="30" customHeight="1" x14ac:dyDescent="0.25">
      <c r="A398" s="112" t="s">
        <v>212</v>
      </c>
      <c r="B398" s="91"/>
      <c r="C398" s="79">
        <v>1158420.3999999999</v>
      </c>
      <c r="D398" s="125"/>
      <c r="E398" s="79">
        <f t="shared" ref="E398:E403" si="65">F398-D398</f>
        <v>1500000</v>
      </c>
      <c r="F398" s="125">
        <v>1500000</v>
      </c>
      <c r="G398" s="109"/>
    </row>
    <row r="399" spans="1:8" x14ac:dyDescent="0.25">
      <c r="A399" s="112" t="s">
        <v>646</v>
      </c>
      <c r="B399" s="91"/>
      <c r="C399" s="79">
        <v>329395</v>
      </c>
      <c r="D399" s="125"/>
      <c r="E399" s="79">
        <f t="shared" si="65"/>
        <v>500000</v>
      </c>
      <c r="F399" s="125">
        <v>500000</v>
      </c>
      <c r="G399" s="109"/>
    </row>
    <row r="400" spans="1:8" x14ac:dyDescent="0.25">
      <c r="A400" s="112" t="s">
        <v>213</v>
      </c>
      <c r="B400" s="91"/>
      <c r="C400" s="79">
        <v>98849.01</v>
      </c>
      <c r="D400" s="125"/>
      <c r="E400" s="79">
        <f t="shared" si="65"/>
        <v>300000</v>
      </c>
      <c r="F400" s="125">
        <v>300000</v>
      </c>
      <c r="G400" s="109"/>
    </row>
    <row r="401" spans="1:9" ht="42" customHeight="1" x14ac:dyDescent="0.25">
      <c r="A401" s="112" t="s">
        <v>825</v>
      </c>
      <c r="B401" s="91"/>
      <c r="C401" s="79">
        <v>312000</v>
      </c>
      <c r="D401" s="125"/>
      <c r="E401" s="79">
        <f t="shared" si="65"/>
        <v>300000</v>
      </c>
      <c r="F401" s="125">
        <v>300000</v>
      </c>
      <c r="G401" s="109"/>
    </row>
    <row r="402" spans="1:9" x14ac:dyDescent="0.25">
      <c r="A402" s="112" t="s">
        <v>214</v>
      </c>
      <c r="B402" s="91"/>
      <c r="C402" s="79">
        <v>7377000</v>
      </c>
      <c r="D402" s="125"/>
      <c r="E402" s="79">
        <f t="shared" si="65"/>
        <v>7500000</v>
      </c>
      <c r="F402" s="125">
        <v>7500000</v>
      </c>
      <c r="G402" s="109"/>
    </row>
    <row r="403" spans="1:9" x14ac:dyDescent="0.25">
      <c r="A403" s="112" t="s">
        <v>215</v>
      </c>
      <c r="B403" s="91"/>
      <c r="C403" s="79"/>
      <c r="D403" s="125"/>
      <c r="E403" s="79">
        <f t="shared" si="65"/>
        <v>50000</v>
      </c>
      <c r="F403" s="125">
        <v>50000</v>
      </c>
      <c r="G403" s="109"/>
    </row>
    <row r="404" spans="1:9" x14ac:dyDescent="0.25">
      <c r="A404" s="114" t="s">
        <v>211</v>
      </c>
      <c r="B404" s="122"/>
      <c r="C404" s="81"/>
      <c r="D404" s="127"/>
      <c r="E404" s="81"/>
      <c r="F404" s="127"/>
      <c r="G404" s="115"/>
    </row>
    <row r="405" spans="1:9" ht="25.5" x14ac:dyDescent="0.25">
      <c r="A405" s="112" t="s">
        <v>670</v>
      </c>
      <c r="B405" s="91"/>
      <c r="C405" s="79"/>
      <c r="D405" s="125"/>
      <c r="E405" s="79"/>
      <c r="F405" s="125">
        <v>320000</v>
      </c>
      <c r="G405" s="109"/>
      <c r="H405" s="52" t="s">
        <v>731</v>
      </c>
      <c r="I405" s="52" t="s">
        <v>732</v>
      </c>
    </row>
    <row r="406" spans="1:9" x14ac:dyDescent="0.25">
      <c r="A406" s="179" t="s">
        <v>191</v>
      </c>
      <c r="B406" s="148"/>
      <c r="C406" s="101">
        <f>SUM(C398:C405)</f>
        <v>9275664.4100000001</v>
      </c>
      <c r="D406" s="101">
        <f>SUM(D398:D405)</f>
        <v>0</v>
      </c>
      <c r="E406" s="101">
        <f>SUM(E398:E405)</f>
        <v>10150000</v>
      </c>
      <c r="F406" s="101">
        <f>SUM(F398:F405)</f>
        <v>10470000</v>
      </c>
      <c r="G406" s="101">
        <f>SUM(G398:G405)</f>
        <v>0</v>
      </c>
      <c r="H406" s="46">
        <f>G406</f>
        <v>0</v>
      </c>
    </row>
    <row r="407" spans="1:9" ht="30" customHeight="1" x14ac:dyDescent="0.25">
      <c r="A407" s="131" t="s">
        <v>388</v>
      </c>
      <c r="B407" s="150"/>
      <c r="C407" s="133"/>
      <c r="D407" s="134"/>
      <c r="E407" s="133"/>
      <c r="F407" s="134"/>
      <c r="G407" s="135"/>
    </row>
    <row r="408" spans="1:9" ht="30" customHeight="1" x14ac:dyDescent="0.25">
      <c r="A408" s="322" t="s">
        <v>416</v>
      </c>
      <c r="B408" s="91"/>
      <c r="C408" s="79">
        <v>185000</v>
      </c>
      <c r="D408" s="125"/>
      <c r="E408" s="348">
        <f t="shared" ref="E408" si="66">F408-D408</f>
        <v>300000</v>
      </c>
      <c r="F408" s="349">
        <v>300000</v>
      </c>
      <c r="G408" s="109"/>
    </row>
    <row r="409" spans="1:9" x14ac:dyDescent="0.25">
      <c r="A409" s="179" t="s">
        <v>191</v>
      </c>
      <c r="B409" s="148"/>
      <c r="C409" s="101">
        <f>SUM(C407:C408)</f>
        <v>185000</v>
      </c>
      <c r="D409" s="101">
        <f>SUM(D407:D408)</f>
        <v>0</v>
      </c>
      <c r="E409" s="101">
        <f>SUM(E407:E408)</f>
        <v>300000</v>
      </c>
      <c r="F409" s="101">
        <f>SUM(F407:F408)</f>
        <v>300000</v>
      </c>
      <c r="G409" s="101">
        <f>SUM(G407:G408)</f>
        <v>0</v>
      </c>
      <c r="H409" s="46">
        <f>G409</f>
        <v>0</v>
      </c>
    </row>
    <row r="410" spans="1:9" x14ac:dyDescent="0.25">
      <c r="A410" s="131" t="s">
        <v>221</v>
      </c>
      <c r="B410" s="150"/>
      <c r="C410" s="133"/>
      <c r="D410" s="134"/>
      <c r="E410" s="133"/>
      <c r="F410" s="134"/>
      <c r="G410" s="135"/>
    </row>
    <row r="411" spans="1:9" ht="42" customHeight="1" x14ac:dyDescent="0.25">
      <c r="A411" s="340" t="s">
        <v>222</v>
      </c>
      <c r="B411" s="341"/>
      <c r="C411" s="334"/>
      <c r="D411" s="342"/>
      <c r="E411" s="334"/>
      <c r="F411" s="342"/>
      <c r="G411" s="336"/>
    </row>
    <row r="412" spans="1:9" x14ac:dyDescent="0.25">
      <c r="A412" s="337" t="s">
        <v>191</v>
      </c>
      <c r="B412" s="338"/>
      <c r="C412" s="339">
        <f>SUM(C411)</f>
        <v>0</v>
      </c>
      <c r="D412" s="339">
        <f>SUM(D411)</f>
        <v>0</v>
      </c>
      <c r="E412" s="339">
        <f>SUM(E411)</f>
        <v>0</v>
      </c>
      <c r="F412" s="339">
        <f>SUM(F411)</f>
        <v>0</v>
      </c>
      <c r="G412" s="339">
        <f>SUM(G411)</f>
        <v>0</v>
      </c>
      <c r="H412" s="46">
        <f>G412</f>
        <v>0</v>
      </c>
    </row>
    <row r="413" spans="1:9" x14ac:dyDescent="0.25">
      <c r="A413" s="131" t="s">
        <v>226</v>
      </c>
      <c r="B413" s="150"/>
      <c r="C413" s="133"/>
      <c r="D413" s="134"/>
      <c r="E413" s="133"/>
      <c r="F413" s="134"/>
      <c r="G413" s="135"/>
    </row>
    <row r="414" spans="1:9" x14ac:dyDescent="0.25">
      <c r="A414" s="322" t="s">
        <v>227</v>
      </c>
      <c r="B414" s="91"/>
      <c r="C414" s="79"/>
      <c r="D414" s="125"/>
      <c r="E414" s="79"/>
      <c r="F414" s="125"/>
      <c r="G414" s="109"/>
    </row>
    <row r="415" spans="1:9" x14ac:dyDescent="0.25">
      <c r="A415" s="179" t="s">
        <v>191</v>
      </c>
      <c r="B415" s="100"/>
      <c r="C415" s="101">
        <f>SUM(C414)</f>
        <v>0</v>
      </c>
      <c r="D415" s="101">
        <f t="shared" ref="D415:G415" si="67">SUM(D414)</f>
        <v>0</v>
      </c>
      <c r="E415" s="101">
        <f t="shared" si="67"/>
        <v>0</v>
      </c>
      <c r="F415" s="101">
        <f t="shared" si="67"/>
        <v>0</v>
      </c>
      <c r="G415" s="101">
        <f t="shared" si="67"/>
        <v>0</v>
      </c>
      <c r="H415" s="46"/>
    </row>
    <row r="416" spans="1:9" s="50" customFormat="1" x14ac:dyDescent="0.25">
      <c r="A416" s="174" t="s">
        <v>392</v>
      </c>
      <c r="B416" s="319"/>
      <c r="C416" s="320">
        <f>C360+C365+C390+C395+C406+C409+C412+C415</f>
        <v>271831742.50999999</v>
      </c>
      <c r="D416" s="320">
        <f>D360+D365+D390+D395+D406+D409+D412+D415</f>
        <v>0</v>
      </c>
      <c r="E416" s="320">
        <f>E360+E365+E390+E395+E406+E409+E412+E415</f>
        <v>342629880</v>
      </c>
      <c r="F416" s="320">
        <f>F360+F365+F390+F395+F406+F409+F412+F415</f>
        <v>464795380</v>
      </c>
      <c r="G416" s="320">
        <f>G360+G365+G390+G395+G406+G409+G412+G415</f>
        <v>121551000</v>
      </c>
      <c r="H416" s="727">
        <f>CMO_SPPA_TOTAL-F416</f>
        <v>-343244380</v>
      </c>
      <c r="I416" s="282">
        <f>SUM(D416:E416)</f>
        <v>342629880</v>
      </c>
    </row>
    <row r="417" spans="1:9" x14ac:dyDescent="0.25">
      <c r="A417" s="343" t="s">
        <v>229</v>
      </c>
      <c r="B417" s="183"/>
      <c r="C417" s="184"/>
      <c r="D417" s="184"/>
      <c r="E417" s="184"/>
      <c r="F417" s="184"/>
      <c r="G417" s="184"/>
      <c r="H417" s="281" t="s">
        <v>733</v>
      </c>
    </row>
    <row r="418" spans="1:9" x14ac:dyDescent="0.25">
      <c r="A418" s="343" t="s">
        <v>230</v>
      </c>
      <c r="B418" s="183"/>
      <c r="C418" s="184"/>
      <c r="D418" s="184"/>
      <c r="E418" s="184"/>
      <c r="F418" s="184"/>
      <c r="G418" s="184"/>
      <c r="H418" s="41">
        <v>1261905963</v>
      </c>
      <c r="I418" s="281">
        <f>+G417-F417</f>
        <v>0</v>
      </c>
    </row>
    <row r="419" spans="1:9" x14ac:dyDescent="0.25">
      <c r="A419" s="174"/>
      <c r="B419" s="180"/>
      <c r="C419" s="181">
        <f t="shared" ref="C419:F419" si="68">SUM(C416:C418)</f>
        <v>271831742.50999999</v>
      </c>
      <c r="D419" s="181">
        <f t="shared" si="68"/>
        <v>0</v>
      </c>
      <c r="E419" s="181">
        <f t="shared" si="68"/>
        <v>342629880</v>
      </c>
      <c r="F419" s="181">
        <f t="shared" si="68"/>
        <v>464795380</v>
      </c>
      <c r="G419" s="181">
        <f>SUM(G416:G418)</f>
        <v>121551000</v>
      </c>
      <c r="H419" s="281">
        <f>+G418+G417+CMO_SPPA_TOTAL</f>
        <v>121551000</v>
      </c>
    </row>
    <row r="420" spans="1:9" x14ac:dyDescent="0.25">
      <c r="F420" s="46"/>
    </row>
    <row r="421" spans="1:9" x14ac:dyDescent="0.25">
      <c r="H421" s="49">
        <v>1216451889</v>
      </c>
      <c r="I421" s="49">
        <v>1605170968</v>
      </c>
    </row>
    <row r="422" spans="1:9" x14ac:dyDescent="0.25">
      <c r="H422" s="49"/>
    </row>
  </sheetData>
  <mergeCells count="9">
    <mergeCell ref="A1:G1"/>
    <mergeCell ref="A2:G2"/>
    <mergeCell ref="A3:G3"/>
    <mergeCell ref="A4:G4"/>
    <mergeCell ref="A6:A8"/>
    <mergeCell ref="B6:B8"/>
    <mergeCell ref="C6:C8"/>
    <mergeCell ref="D6:F7"/>
    <mergeCell ref="G6:G8"/>
  </mergeCells>
  <printOptions horizontalCentered="1"/>
  <pageMargins left="0.35433070866141736" right="0.23622047244094491" top="0.74803149606299213" bottom="0.74803149606299213" header="0.31496062992125984" footer="0.31496062992125984"/>
  <pageSetup paperSize="14" scale="79" firstPageNumber="7" fitToHeight="0" orientation="portrait" horizontalDpi="360" verticalDpi="360" r:id="rId1"/>
  <headerFooter scaleWithDoc="0">
    <oddFooter>&amp;C&amp;"Candara,Regular"&amp;10Page &amp;"Candara,Bold"&amp;P</oddFooter>
  </headerFooter>
  <rowBreaks count="1" manualBreakCount="1">
    <brk id="409"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46</vt:i4>
      </vt:variant>
      <vt:variant>
        <vt:lpstr>Named Ranges</vt:lpstr>
      </vt:variant>
      <vt:variant>
        <vt:i4>367</vt:i4>
      </vt:variant>
    </vt:vector>
  </HeadingPairs>
  <TitlesOfParts>
    <vt:vector size="413" baseType="lpstr">
      <vt:lpstr>10POINTAFTERLFC</vt:lpstr>
      <vt:lpstr>sorcitycoopdev't.office</vt:lpstr>
      <vt:lpstr>param</vt:lpstr>
      <vt:lpstr>SUMMARY</vt:lpstr>
      <vt:lpstr>20%DF</vt:lpstr>
      <vt:lpstr>SUMMARY (2)</vt:lpstr>
      <vt:lpstr>70% of 5%</vt:lpstr>
      <vt:lpstr>1011-CMO</vt:lpstr>
      <vt:lpstr>SPPA-CMO 2021</vt:lpstr>
      <vt:lpstr>CMO - SPPA</vt:lpstr>
      <vt:lpstr>SPPA FORM2A</vt:lpstr>
      <vt:lpstr>1013-CSU</vt:lpstr>
      <vt:lpstr>1014-BAPAS</vt:lpstr>
      <vt:lpstr>1015-PERMITS</vt:lpstr>
      <vt:lpstr>1016-CVMO</vt:lpstr>
      <vt:lpstr>1021-SP</vt:lpstr>
      <vt:lpstr>1022-SEC TO SP</vt:lpstr>
      <vt:lpstr>1031-ADMIN</vt:lpstr>
      <vt:lpstr>1032-CHRMO</vt:lpstr>
      <vt:lpstr>1033-PESO</vt:lpstr>
      <vt:lpstr>1041-CPDO</vt:lpstr>
      <vt:lpstr>1051-CCRO</vt:lpstr>
      <vt:lpstr>1061-CGSO</vt:lpstr>
      <vt:lpstr>1071-CBO</vt:lpstr>
      <vt:lpstr>1081-ACCTNG</vt:lpstr>
      <vt:lpstr>1091-CTO</vt:lpstr>
      <vt:lpstr>1101-ASSESSOR</vt:lpstr>
      <vt:lpstr>1121-CPIO</vt:lpstr>
      <vt:lpstr>1131-LEGAL</vt:lpstr>
      <vt:lpstr>4411-CHO</vt:lpstr>
      <vt:lpstr>7611-CSWDO</vt:lpstr>
      <vt:lpstr>8711-AGRI</vt:lpstr>
      <vt:lpstr>8721-VET</vt:lpstr>
      <vt:lpstr>8731-CENRO</vt:lpstr>
      <vt:lpstr>8751-CEO</vt:lpstr>
      <vt:lpstr>8811-MARKET</vt:lpstr>
      <vt:lpstr>BAC-BAC</vt:lpstr>
      <vt:lpstr>CCDO-CCDO</vt:lpstr>
      <vt:lpstr>CDRRMO-CDRRMO</vt:lpstr>
      <vt:lpstr>CTFRO-CTFRO</vt:lpstr>
      <vt:lpstr>CZAO-CZAO</vt:lpstr>
      <vt:lpstr>IAS-IAS</vt:lpstr>
      <vt:lpstr>OCIT-OCIT</vt:lpstr>
      <vt:lpstr>SOLIDWASTE-SOLIDWASTE</vt:lpstr>
      <vt:lpstr>TOURISM-TOURISM</vt:lpstr>
      <vt:lpstr>TRAFFIC-TRAFFIC</vt:lpstr>
      <vt:lpstr>'CMO - SPPA'!ACTNG_CO</vt:lpstr>
      <vt:lpstr>ACTNG_CO</vt:lpstr>
      <vt:lpstr>'CMO - SPPA'!ACTNG_MOOE</vt:lpstr>
      <vt:lpstr>ACTNG_MOOE</vt:lpstr>
      <vt:lpstr>'CMO - SPPA'!ACTNG_PLATILLA_ITEMS</vt:lpstr>
      <vt:lpstr>ACTNG_PLATILLA_ITEMS</vt:lpstr>
      <vt:lpstr>'CMO - SPPA'!ACTNG_PS</vt:lpstr>
      <vt:lpstr>ACTNG_PS</vt:lpstr>
      <vt:lpstr>'1031-ADMIN'!ADMIN_CO</vt:lpstr>
      <vt:lpstr>'1031-ADMIN'!ADMIN_MOOE</vt:lpstr>
      <vt:lpstr>'1031-ADMIN'!ADMIN_PLATILLA_ITEMS</vt:lpstr>
      <vt:lpstr>'1031-ADMIN'!ADMIN_PS</vt:lpstr>
      <vt:lpstr>'CMO - SPPA'!AGRI_CO</vt:lpstr>
      <vt:lpstr>AGRI_CO</vt:lpstr>
      <vt:lpstr>'CMO - SPPA'!AGRI_MOOE</vt:lpstr>
      <vt:lpstr>AGRI_MOOE</vt:lpstr>
      <vt:lpstr>'CMO - SPPA'!AGRI_PLATILLA_ITEMS</vt:lpstr>
      <vt:lpstr>AGRI_PLATILLA_ITEMS</vt:lpstr>
      <vt:lpstr>'CMO - SPPA'!AGRI_PS</vt:lpstr>
      <vt:lpstr>AGRI_PS</vt:lpstr>
      <vt:lpstr>'CMO - SPPA'!ASSESSOR_CO</vt:lpstr>
      <vt:lpstr>ASSESSOR_CO</vt:lpstr>
      <vt:lpstr>'CMO - SPPA'!ASSESSOR_MOOE</vt:lpstr>
      <vt:lpstr>ASSESSOR_MOOE</vt:lpstr>
      <vt:lpstr>'CMO - SPPA'!ASSESSOR_PLATILLA_ITEMS</vt:lpstr>
      <vt:lpstr>ASSESSOR_PLATILLA_ITEMS</vt:lpstr>
      <vt:lpstr>'CMO - SPPA'!ASSESSOR_PS</vt:lpstr>
      <vt:lpstr>ASSESSOR_PS</vt:lpstr>
      <vt:lpstr>'CMO - SPPA'!BAC_MOOE</vt:lpstr>
      <vt:lpstr>BAC_MOOE</vt:lpstr>
      <vt:lpstr>'1031-ADMIN'!BAC_PLATILLA_ITEMS</vt:lpstr>
      <vt:lpstr>BAC_PS</vt:lpstr>
      <vt:lpstr>'CMO - SPPA'!BAPAS_CO</vt:lpstr>
      <vt:lpstr>BAPAS_CO</vt:lpstr>
      <vt:lpstr>'CMO - SPPA'!BAPAS_MOOE</vt:lpstr>
      <vt:lpstr>BAPAS_MOOE</vt:lpstr>
      <vt:lpstr>'CMO - SPPA'!BAPAS_PLATILLA_ITEMS</vt:lpstr>
      <vt:lpstr>BAPAS_PLATILLA_ITEMS</vt:lpstr>
      <vt:lpstr>'CMO - SPPA'!BAPAS_PS</vt:lpstr>
      <vt:lpstr>BAPAS_PS</vt:lpstr>
      <vt:lpstr>'CMO - SPPA'!CBO_CO</vt:lpstr>
      <vt:lpstr>CBO_CO</vt:lpstr>
      <vt:lpstr>'CMO - SPPA'!CBO_MOOE</vt:lpstr>
      <vt:lpstr>CBO_MOOE</vt:lpstr>
      <vt:lpstr>'CMO - SPPA'!CBO_PLATILLA_ITEMS</vt:lpstr>
      <vt:lpstr>CBO_PLATILLA_ITEMS</vt:lpstr>
      <vt:lpstr>'CMO - SPPA'!CBO_PS</vt:lpstr>
      <vt:lpstr>CBO_PS</vt:lpstr>
      <vt:lpstr>'CMO - SPPA'!CCRO_CO</vt:lpstr>
      <vt:lpstr>CCRO_CO</vt:lpstr>
      <vt:lpstr>'CMO - SPPA'!CCRO_MOOE</vt:lpstr>
      <vt:lpstr>CCRO_MOOE</vt:lpstr>
      <vt:lpstr>'CMO - SPPA'!CCRO_PLATILLA_ITEMS</vt:lpstr>
      <vt:lpstr>CCRO_PLATILLA_ITEMS</vt:lpstr>
      <vt:lpstr>'CMO - SPPA'!CCRO_PS</vt:lpstr>
      <vt:lpstr>CCRO_PS</vt:lpstr>
      <vt:lpstr>'CMO - SPPA'!CDO_CO</vt:lpstr>
      <vt:lpstr>CDO_CO</vt:lpstr>
      <vt:lpstr>'CMO - SPPA'!CDO_MOOE</vt:lpstr>
      <vt:lpstr>CDO_MOOE</vt:lpstr>
      <vt:lpstr>'CMO - SPPA'!CDO_PLATILLA_ITEMS</vt:lpstr>
      <vt:lpstr>CDO_PLATILLA_ITEMS</vt:lpstr>
      <vt:lpstr>'CMO - SPPA'!CDO_PS</vt:lpstr>
      <vt:lpstr>CDO_PS</vt:lpstr>
      <vt:lpstr>'CDRRMO-CDRRMO'!CDRRMO_CO</vt:lpstr>
      <vt:lpstr>'CDRRMO-CDRRMO'!CDRRMO_MOOE</vt:lpstr>
      <vt:lpstr>'CDRRMO-CDRRMO'!CDRRMO_PLATILLA_ITEMS</vt:lpstr>
      <vt:lpstr>'CDRRMO-CDRRMO'!CDRRMO_PS</vt:lpstr>
      <vt:lpstr>'CMO - SPPA'!CENRO_CO</vt:lpstr>
      <vt:lpstr>CENRO_CO</vt:lpstr>
      <vt:lpstr>'CMO - SPPA'!CENRO_MOOE</vt:lpstr>
      <vt:lpstr>CENRO_MOOE</vt:lpstr>
      <vt:lpstr>'CMO - SPPA'!CENRO_PLATILLA_ITEMS</vt:lpstr>
      <vt:lpstr>CENRO_PLATILLA_ITEMS</vt:lpstr>
      <vt:lpstr>'CMO - SPPA'!CENRO_PS</vt:lpstr>
      <vt:lpstr>CENRO_PS</vt:lpstr>
      <vt:lpstr>'1061-CGSO'!CGSO_CO</vt:lpstr>
      <vt:lpstr>'1061-CGSO'!CGSO_MOOE</vt:lpstr>
      <vt:lpstr>'1061-CGSO'!CGSO_PLATILLA_ITEMS</vt:lpstr>
      <vt:lpstr>'1061-CGSO'!CGSO_PS</vt:lpstr>
      <vt:lpstr>'4411-CHO'!CHO_CO</vt:lpstr>
      <vt:lpstr>'4411-CHO'!CHO_MOOE</vt:lpstr>
      <vt:lpstr>'4411-CHO'!CHO_PLATILLA_ITEMS</vt:lpstr>
      <vt:lpstr>'4411-CHO'!CHO_PS</vt:lpstr>
      <vt:lpstr>'CMO - SPPA'!CHRMO_CO</vt:lpstr>
      <vt:lpstr>CHRMO_CO</vt:lpstr>
      <vt:lpstr>'CMO - SPPA'!CHRMO_MOOE</vt:lpstr>
      <vt:lpstr>CHRMO_MOOE</vt:lpstr>
      <vt:lpstr>'CMO - SPPA'!CHRMO_PLATILLA_ITEMS</vt:lpstr>
      <vt:lpstr>CHRMO_PLATILLA_ITEMS</vt:lpstr>
      <vt:lpstr>'CMO - SPPA'!CHRMO_PS</vt:lpstr>
      <vt:lpstr>CHRMO_PS</vt:lpstr>
      <vt:lpstr>CMO_CO</vt:lpstr>
      <vt:lpstr>CMO_MOOE</vt:lpstr>
      <vt:lpstr>'CMO - SPPA'!CMO_PLATILLA_ITEMS</vt:lpstr>
      <vt:lpstr>CMO_PLATILLA_ITEMS</vt:lpstr>
      <vt:lpstr>CMO_PS</vt:lpstr>
      <vt:lpstr>'SPPA FORM2A'!CMO_SPPA_TOTAL</vt:lpstr>
      <vt:lpstr>'SPPA-CMO 2021'!CMO_SPPA_TOTAL</vt:lpstr>
      <vt:lpstr>'CMO - SPPA'!CPDO_CO</vt:lpstr>
      <vt:lpstr>CPDO_CO</vt:lpstr>
      <vt:lpstr>'CMO - SPPA'!CPDO_MOOE</vt:lpstr>
      <vt:lpstr>CPDO_MOOE</vt:lpstr>
      <vt:lpstr>'CMO - SPPA'!CPDO_PLATILLA_ITEMS</vt:lpstr>
      <vt:lpstr>CPDO_PLATILLA_ITEMS</vt:lpstr>
      <vt:lpstr>'CMO - SPPA'!CPDO_PS</vt:lpstr>
      <vt:lpstr>CPDO_PS</vt:lpstr>
      <vt:lpstr>'CMO - SPPA'!CPIO_CO</vt:lpstr>
      <vt:lpstr>CPIO_CO</vt:lpstr>
      <vt:lpstr>'CMO - SPPA'!CPIO_MOOE</vt:lpstr>
      <vt:lpstr>CPIO_MOOE</vt:lpstr>
      <vt:lpstr>'CMO - SPPA'!CPIO_PLATILLA_ITEMS</vt:lpstr>
      <vt:lpstr>CPIO_PLATILLA_ITEMS</vt:lpstr>
      <vt:lpstr>'CMO - SPPA'!CPIO_PS</vt:lpstr>
      <vt:lpstr>CPIO_PS</vt:lpstr>
      <vt:lpstr>'CMO - SPPA'!CSU_CO</vt:lpstr>
      <vt:lpstr>CSU_CO</vt:lpstr>
      <vt:lpstr>'CMO - SPPA'!CSU_MOOE</vt:lpstr>
      <vt:lpstr>CSU_MOOE</vt:lpstr>
      <vt:lpstr>'CMO - SPPA'!CSU_PLATILLA_ITEMS</vt:lpstr>
      <vt:lpstr>CSU_PLATILLA_ITEMS</vt:lpstr>
      <vt:lpstr>'CMO - SPPA'!CSU_PS</vt:lpstr>
      <vt:lpstr>CSU_PS</vt:lpstr>
      <vt:lpstr>'CMO - SPPA'!CSWDO_CO</vt:lpstr>
      <vt:lpstr>CSWDO_CO</vt:lpstr>
      <vt:lpstr>'CMO - SPPA'!CSWDO_MOOE</vt:lpstr>
      <vt:lpstr>CSWDO_MOOE</vt:lpstr>
      <vt:lpstr>'CMO - SPPA'!CSWDO_PLATILLA_ITEMS</vt:lpstr>
      <vt:lpstr>CSWDO_PLATILLA_ITEMS</vt:lpstr>
      <vt:lpstr>'CMO - SPPA'!CSWDO_PS</vt:lpstr>
      <vt:lpstr>CSWDO_PS</vt:lpstr>
      <vt:lpstr>CTFRO_CO</vt:lpstr>
      <vt:lpstr>CTFRO_MOOE</vt:lpstr>
      <vt:lpstr>'CMO - SPPA'!CTFRO_PLATILLA_ITEMS</vt:lpstr>
      <vt:lpstr>CTFRO_PLATILLA_ITEMS</vt:lpstr>
      <vt:lpstr>'CMO - SPPA'!CTFRO_PS</vt:lpstr>
      <vt:lpstr>CTFRO_PS</vt:lpstr>
      <vt:lpstr>'CMO - SPPA'!CTO_CO</vt:lpstr>
      <vt:lpstr>CTO_CO</vt:lpstr>
      <vt:lpstr>'CMO - SPPA'!CTO_FE</vt:lpstr>
      <vt:lpstr>CTO_FE</vt:lpstr>
      <vt:lpstr>'CMO - SPPA'!CTO_MOOE</vt:lpstr>
      <vt:lpstr>CTO_MOOE</vt:lpstr>
      <vt:lpstr>'CMO - SPPA'!CTO_PLATILLA_ITEMS</vt:lpstr>
      <vt:lpstr>CTO_PLATILLA_ITEMS</vt:lpstr>
      <vt:lpstr>'CMO - SPPA'!CTO_PS</vt:lpstr>
      <vt:lpstr>CTO_PS</vt:lpstr>
      <vt:lpstr>'CMO - SPPA'!CVMO_CO</vt:lpstr>
      <vt:lpstr>CVMO_CO</vt:lpstr>
      <vt:lpstr>'CMO - SPPA'!CVMO_MOOE</vt:lpstr>
      <vt:lpstr>CVMO_MOOE</vt:lpstr>
      <vt:lpstr>'CMO - SPPA'!CVMO_PLATILLA_ITEMS</vt:lpstr>
      <vt:lpstr>CVMO_PLATILLA_ITEMS</vt:lpstr>
      <vt:lpstr>'CMO - SPPA'!CVMO_PS</vt:lpstr>
      <vt:lpstr>CVMO_PS</vt:lpstr>
      <vt:lpstr>'CMO - SPPA'!ENGINEER_CO</vt:lpstr>
      <vt:lpstr>ENGINEER_CO</vt:lpstr>
      <vt:lpstr>'CMO - SPPA'!ENGINEER_MOOE</vt:lpstr>
      <vt:lpstr>ENGINEER_MOOE</vt:lpstr>
      <vt:lpstr>'CMO - SPPA'!ENGINEER_PLATILLA_ITEMS</vt:lpstr>
      <vt:lpstr>ENGINEER_PLATILLA_ITEMS</vt:lpstr>
      <vt:lpstr>'CMO - SPPA'!ENGINEER_PS</vt:lpstr>
      <vt:lpstr>ENGINEER_PS</vt:lpstr>
      <vt:lpstr>'CMO - SPPA'!IAS_CO</vt:lpstr>
      <vt:lpstr>'CTFRO-CTFRO'!IAS_CO</vt:lpstr>
      <vt:lpstr>IAS_CO</vt:lpstr>
      <vt:lpstr>'CMO - SPPA'!IAS_MOOE</vt:lpstr>
      <vt:lpstr>'CTFRO-CTFRO'!IAS_MOOE</vt:lpstr>
      <vt:lpstr>IAS_MOOE</vt:lpstr>
      <vt:lpstr>'CMO - SPPA'!IAS_PLATILLA_ITEMS</vt:lpstr>
      <vt:lpstr>IAS_PLATILLA_ITEMS</vt:lpstr>
      <vt:lpstr>'CMO - SPPA'!IAS_PS</vt:lpstr>
      <vt:lpstr>'CTFRO-CTFRO'!IAS_PS</vt:lpstr>
      <vt:lpstr>IAS_PS</vt:lpstr>
      <vt:lpstr>IT_CO</vt:lpstr>
      <vt:lpstr>IT_MOOE</vt:lpstr>
      <vt:lpstr>IT_PLANTILLA_ITEMS</vt:lpstr>
      <vt:lpstr>IT_PS</vt:lpstr>
      <vt:lpstr>'CMO - SPPA'!LEGAL_CO</vt:lpstr>
      <vt:lpstr>LEGAL_CO</vt:lpstr>
      <vt:lpstr>'CMO - SPPA'!LEGAL_MOOE</vt:lpstr>
      <vt:lpstr>LEGAL_MOOE</vt:lpstr>
      <vt:lpstr>'CMO - SPPA'!LEGAL_PLATILLA_ITEMS</vt:lpstr>
      <vt:lpstr>LEGAL_PLATILLA_ITEMS</vt:lpstr>
      <vt:lpstr>'CMO - SPPA'!LEGAL_PS</vt:lpstr>
      <vt:lpstr>LEGAL_PS</vt:lpstr>
      <vt:lpstr>'8811-MARKET'!MARKET_CO</vt:lpstr>
      <vt:lpstr>'8811-MARKET'!MARKET_MOOE</vt:lpstr>
      <vt:lpstr>'8811-MARKET'!MARKET_PLATILLA_ITEMS</vt:lpstr>
      <vt:lpstr>'8811-MARKET'!MARKET_PS</vt:lpstr>
      <vt:lpstr>param_cash_gift</vt:lpstr>
      <vt:lpstr>param_ecc</vt:lpstr>
      <vt:lpstr>param_pagibig</vt:lpstr>
      <vt:lpstr>param_pbb</vt:lpstr>
      <vt:lpstr>param_pei</vt:lpstr>
      <vt:lpstr>param_pera</vt:lpstr>
      <vt:lpstr>param_uniform</vt:lpstr>
      <vt:lpstr>pera</vt:lpstr>
      <vt:lpstr>'CMO - SPPA'!PERMITS_CO</vt:lpstr>
      <vt:lpstr>PERMITS_CO</vt:lpstr>
      <vt:lpstr>'CMO - SPPA'!PERMITS_MOOE</vt:lpstr>
      <vt:lpstr>PERMITS_MOOE</vt:lpstr>
      <vt:lpstr>'CMO - SPPA'!PERMITS_PLATILLA_ITEMS</vt:lpstr>
      <vt:lpstr>PERMITS_PLATILLA_ITEMS</vt:lpstr>
      <vt:lpstr>'CMO - SPPA'!PERMITS_PS</vt:lpstr>
      <vt:lpstr>PERMITS_PS</vt:lpstr>
      <vt:lpstr>'CMO - SPPA'!PESO_CO</vt:lpstr>
      <vt:lpstr>PESO_CO</vt:lpstr>
      <vt:lpstr>'CMO - SPPA'!PESO_MOOE</vt:lpstr>
      <vt:lpstr>PESO_MOOE</vt:lpstr>
      <vt:lpstr>'CMO - SPPA'!PESO_PLATILLA_ITEMS</vt:lpstr>
      <vt:lpstr>PESO_PLATILLA_ITEMS</vt:lpstr>
      <vt:lpstr>'CMO - SPPA'!PESO_PS</vt:lpstr>
      <vt:lpstr>PESO_PS</vt:lpstr>
      <vt:lpstr>'1011-CMO'!Print_Area</vt:lpstr>
      <vt:lpstr>'1013-CSU'!Print_Area</vt:lpstr>
      <vt:lpstr>'1014-BAPAS'!Print_Area</vt:lpstr>
      <vt:lpstr>'1015-PERMITS'!Print_Area</vt:lpstr>
      <vt:lpstr>'1016-CVMO'!Print_Area</vt:lpstr>
      <vt:lpstr>'1021-SP'!Print_Area</vt:lpstr>
      <vt:lpstr>'1022-SEC TO SP'!Print_Area</vt:lpstr>
      <vt:lpstr>'1031-ADMIN'!Print_Area</vt:lpstr>
      <vt:lpstr>'1032-CHRMO'!Print_Area</vt:lpstr>
      <vt:lpstr>'1033-PESO'!Print_Area</vt:lpstr>
      <vt:lpstr>'1041-CPDO'!Print_Area</vt:lpstr>
      <vt:lpstr>'1051-CCRO'!Print_Area</vt:lpstr>
      <vt:lpstr>'1061-CGSO'!Print_Area</vt:lpstr>
      <vt:lpstr>'1071-CBO'!Print_Area</vt:lpstr>
      <vt:lpstr>'1081-ACCTNG'!Print_Area</vt:lpstr>
      <vt:lpstr>'1091-CTO'!Print_Area</vt:lpstr>
      <vt:lpstr>'10POINTAFTERLFC'!Print_Area</vt:lpstr>
      <vt:lpstr>'1101-ASSESSOR'!Print_Area</vt:lpstr>
      <vt:lpstr>'1121-CPIO'!Print_Area</vt:lpstr>
      <vt:lpstr>'1131-LEGAL'!Print_Area</vt:lpstr>
      <vt:lpstr>'20%DF'!Print_Area</vt:lpstr>
      <vt:lpstr>'4411-CHO'!Print_Area</vt:lpstr>
      <vt:lpstr>'70% of 5%'!Print_Area</vt:lpstr>
      <vt:lpstr>'7611-CSWDO'!Print_Area</vt:lpstr>
      <vt:lpstr>'8711-AGRI'!Print_Area</vt:lpstr>
      <vt:lpstr>'8721-VET'!Print_Area</vt:lpstr>
      <vt:lpstr>'8731-CENRO'!Print_Area</vt:lpstr>
      <vt:lpstr>'8751-CEO'!Print_Area</vt:lpstr>
      <vt:lpstr>'8811-MARKET'!Print_Area</vt:lpstr>
      <vt:lpstr>'BAC-BAC'!Print_Area</vt:lpstr>
      <vt:lpstr>'CCDO-CCDO'!Print_Area</vt:lpstr>
      <vt:lpstr>'CDRRMO-CDRRMO'!Print_Area</vt:lpstr>
      <vt:lpstr>'CMO - SPPA'!Print_Area</vt:lpstr>
      <vt:lpstr>'CTFRO-CTFRO'!Print_Area</vt:lpstr>
      <vt:lpstr>'CZAO-CZAO'!Print_Area</vt:lpstr>
      <vt:lpstr>'IAS-IAS'!Print_Area</vt:lpstr>
      <vt:lpstr>'OCIT-OCIT'!Print_Area</vt:lpstr>
      <vt:lpstr>'SOLIDWASTE-SOLIDWASTE'!Print_Area</vt:lpstr>
      <vt:lpstr>'sorcitycoopdev''t.office'!Print_Area</vt:lpstr>
      <vt:lpstr>'SPPA FORM2A'!Print_Area</vt:lpstr>
      <vt:lpstr>'SPPA-CMO 2021'!Print_Area</vt:lpstr>
      <vt:lpstr>SUMMARY!Print_Area</vt:lpstr>
      <vt:lpstr>'SUMMARY (2)'!Print_Area</vt:lpstr>
      <vt:lpstr>'TOURISM-TOURISM'!Print_Area</vt:lpstr>
      <vt:lpstr>'TRAFFIC-TRAFFIC'!Print_Area</vt:lpstr>
      <vt:lpstr>'1011-CMO'!Print_Titles</vt:lpstr>
      <vt:lpstr>'1013-CSU'!Print_Titles</vt:lpstr>
      <vt:lpstr>'1014-BAPAS'!Print_Titles</vt:lpstr>
      <vt:lpstr>'1015-PERMITS'!Print_Titles</vt:lpstr>
      <vt:lpstr>'1016-CVMO'!Print_Titles</vt:lpstr>
      <vt:lpstr>'1021-SP'!Print_Titles</vt:lpstr>
      <vt:lpstr>'1022-SEC TO SP'!Print_Titles</vt:lpstr>
      <vt:lpstr>'1031-ADMIN'!Print_Titles</vt:lpstr>
      <vt:lpstr>'1032-CHRMO'!Print_Titles</vt:lpstr>
      <vt:lpstr>'1033-PESO'!Print_Titles</vt:lpstr>
      <vt:lpstr>'1041-CPDO'!Print_Titles</vt:lpstr>
      <vt:lpstr>'1051-CCRO'!Print_Titles</vt:lpstr>
      <vt:lpstr>'1061-CGSO'!Print_Titles</vt:lpstr>
      <vt:lpstr>'1071-CBO'!Print_Titles</vt:lpstr>
      <vt:lpstr>'1081-ACCTNG'!Print_Titles</vt:lpstr>
      <vt:lpstr>'1091-CTO'!Print_Titles</vt:lpstr>
      <vt:lpstr>'1101-ASSESSOR'!Print_Titles</vt:lpstr>
      <vt:lpstr>'1121-CPIO'!Print_Titles</vt:lpstr>
      <vt:lpstr>'1131-LEGAL'!Print_Titles</vt:lpstr>
      <vt:lpstr>'20%DF'!Print_Titles</vt:lpstr>
      <vt:lpstr>'4411-CHO'!Print_Titles</vt:lpstr>
      <vt:lpstr>'70% of 5%'!Print_Titles</vt:lpstr>
      <vt:lpstr>'7611-CSWDO'!Print_Titles</vt:lpstr>
      <vt:lpstr>'8711-AGRI'!Print_Titles</vt:lpstr>
      <vt:lpstr>'8721-VET'!Print_Titles</vt:lpstr>
      <vt:lpstr>'8731-CENRO'!Print_Titles</vt:lpstr>
      <vt:lpstr>'8751-CEO'!Print_Titles</vt:lpstr>
      <vt:lpstr>'8811-MARKET'!Print_Titles</vt:lpstr>
      <vt:lpstr>'BAC-BAC'!Print_Titles</vt:lpstr>
      <vt:lpstr>'CCDO-CCDO'!Print_Titles</vt:lpstr>
      <vt:lpstr>'CDRRMO-CDRRMO'!Print_Titles</vt:lpstr>
      <vt:lpstr>'CMO - SPPA'!Print_Titles</vt:lpstr>
      <vt:lpstr>'CTFRO-CTFRO'!Print_Titles</vt:lpstr>
      <vt:lpstr>'CZAO-CZAO'!Print_Titles</vt:lpstr>
      <vt:lpstr>'IAS-IAS'!Print_Titles</vt:lpstr>
      <vt:lpstr>'OCIT-OCIT'!Print_Titles</vt:lpstr>
      <vt:lpstr>'SOLIDWASTE-SOLIDWASTE'!Print_Titles</vt:lpstr>
      <vt:lpstr>'sorcitycoopdev''t.office'!Print_Titles</vt:lpstr>
      <vt:lpstr>'SPPA FORM2A'!Print_Titles</vt:lpstr>
      <vt:lpstr>'SPPA-CMO 2021'!Print_Titles</vt:lpstr>
      <vt:lpstr>SUMMARY!Print_Titles</vt:lpstr>
      <vt:lpstr>'SUMMARY (2)'!Print_Titles</vt:lpstr>
      <vt:lpstr>'TOURISM-TOURISM'!Print_Titles</vt:lpstr>
      <vt:lpstr>'TRAFFIC-TRAFFIC'!Print_Titles</vt:lpstr>
      <vt:lpstr>'CMO - SPPA'!SECSP_CO</vt:lpstr>
      <vt:lpstr>SECSP_CO</vt:lpstr>
      <vt:lpstr>'CMO - SPPA'!SECSP_MOOE</vt:lpstr>
      <vt:lpstr>SECSP_MOOE</vt:lpstr>
      <vt:lpstr>'CMO - SPPA'!SECSP_PLATILLA_ITEMS</vt:lpstr>
      <vt:lpstr>SECSP_PLATILLA_ITEMS</vt:lpstr>
      <vt:lpstr>'CMO - SPPA'!SECSP_PS</vt:lpstr>
      <vt:lpstr>SECSP_PS</vt:lpstr>
      <vt:lpstr>'CMO - SPPA'!SOLIDWASTE_CO</vt:lpstr>
      <vt:lpstr>'OCIT-OCIT'!SOLIDWASTE_CO</vt:lpstr>
      <vt:lpstr>'sorcitycoopdev''t.office'!SOLIDWASTE_CO</vt:lpstr>
      <vt:lpstr>SOLIDWASTE_CO</vt:lpstr>
      <vt:lpstr>'CMO - SPPA'!SOLIDWASTE_MOOE</vt:lpstr>
      <vt:lpstr>'OCIT-OCIT'!SOLIDWASTE_MOOE</vt:lpstr>
      <vt:lpstr>'sorcitycoopdev''t.office'!SOLIDWASTE_MOOE</vt:lpstr>
      <vt:lpstr>SOLIDWASTE_MOOE</vt:lpstr>
      <vt:lpstr>'CMO - SPPA'!SOLIDWASTE_PLATILLA_ITEMS</vt:lpstr>
      <vt:lpstr>'OCIT-OCIT'!SOLIDWASTE_PLATILLA_ITEMS</vt:lpstr>
      <vt:lpstr>'sorcitycoopdev''t.office'!SOLIDWASTE_PLATILLA_ITEMS</vt:lpstr>
      <vt:lpstr>SOLIDWASTE_PLATILLA_ITEMS</vt:lpstr>
      <vt:lpstr>'CMO - SPPA'!SOLIDWASTE_PS</vt:lpstr>
      <vt:lpstr>'OCIT-OCIT'!SOLIDWASTE_PS</vt:lpstr>
      <vt:lpstr>'sorcitycoopdev''t.office'!SOLIDWASTE_PS</vt:lpstr>
      <vt:lpstr>SOLIDWASTE_PS</vt:lpstr>
      <vt:lpstr>'CMO - SPPA'!SP_CO</vt:lpstr>
      <vt:lpstr>SP_CO</vt:lpstr>
      <vt:lpstr>'CMO - SPPA'!SP_MOOE</vt:lpstr>
      <vt:lpstr>SP_MOOE</vt:lpstr>
      <vt:lpstr>'CMO - SPPA'!SP_PLATILLA_ITEMS</vt:lpstr>
      <vt:lpstr>SP_PLATILLA_ITEMS</vt:lpstr>
      <vt:lpstr>'CMO - SPPA'!SP_PS</vt:lpstr>
      <vt:lpstr>SP_PS</vt:lpstr>
      <vt:lpstr>sppa_total</vt:lpstr>
      <vt:lpstr>'CCDO-CCDO'!TOURISM_CO</vt:lpstr>
      <vt:lpstr>'CMO - SPPA'!TOURISM_CO</vt:lpstr>
      <vt:lpstr>TOURISM_CO</vt:lpstr>
      <vt:lpstr>'CCDO-CCDO'!TOURISM_MOOE</vt:lpstr>
      <vt:lpstr>'CMO - SPPA'!TOURISM_MOOE</vt:lpstr>
      <vt:lpstr>TOURISM_MOOE</vt:lpstr>
      <vt:lpstr>'CMO - SPPA'!TOURISM_PLATILLA_ITEMS</vt:lpstr>
      <vt:lpstr>TOURISM_PLATILLA_ITEMS</vt:lpstr>
      <vt:lpstr>'CCDO-CCDO'!TOURISM_PS</vt:lpstr>
      <vt:lpstr>'CMO - SPPA'!TOURISM_PS</vt:lpstr>
      <vt:lpstr>TOURISM_PS</vt:lpstr>
      <vt:lpstr>'CMO - SPPA'!TRAFFIC_CO</vt:lpstr>
      <vt:lpstr>TRAFFIC_CO</vt:lpstr>
      <vt:lpstr>'CMO - SPPA'!TRAFFIC_MOOE</vt:lpstr>
      <vt:lpstr>TRAFFIC_MOOE</vt:lpstr>
      <vt:lpstr>'CMO - SPPA'!VET_CO</vt:lpstr>
      <vt:lpstr>VET_CO</vt:lpstr>
      <vt:lpstr>'CMO - SPPA'!VET_MOOE</vt:lpstr>
      <vt:lpstr>VET_MOOE</vt:lpstr>
      <vt:lpstr>'CMO - SPPA'!VET_PLATILLA_ITEMS</vt:lpstr>
      <vt:lpstr>VET_PLATILLA_ITEMS</vt:lpstr>
      <vt:lpstr>'CMO - SPPA'!VET_PS</vt:lpstr>
      <vt:lpstr>VET_PS</vt:lpstr>
      <vt:lpstr>'CMO - SPPA'!ZONING_CO</vt:lpstr>
      <vt:lpstr>ZONING_CO</vt:lpstr>
      <vt:lpstr>'CMO - SPPA'!ZONING_MOOE</vt:lpstr>
      <vt:lpstr>ZONING_MOOE</vt:lpstr>
      <vt:lpstr>'CMO - SPPA'!ZONING_PLATILLA_ITEMS</vt:lpstr>
      <vt:lpstr>ZONING_PLATILLA_ITEMS</vt:lpstr>
      <vt:lpstr>'CMO - SPPA'!ZONING_PS</vt:lpstr>
      <vt:lpstr>ZONING_PS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GISCPDO Sorcity</cp:lastModifiedBy>
  <cp:lastPrinted>2023-01-04T05:51:58Z</cp:lastPrinted>
  <dcterms:created xsi:type="dcterms:W3CDTF">2018-09-19T05:32:50Z</dcterms:created>
  <dcterms:modified xsi:type="dcterms:W3CDTF">2023-01-23T02:37:42Z</dcterms:modified>
  <cp:contentStatus/>
</cp:coreProperties>
</file>